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hn\AppData\Roaming\iManage\Work\Recent\62729 - SA Power Networks 2020-25\"/>
    </mc:Choice>
  </mc:AlternateContent>
  <bookViews>
    <workbookView xWindow="2130" yWindow="1560" windowWidth="8670" windowHeight="4785" tabRatio="906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_final" sheetId="2" r:id="rId5"/>
    <sheet name="Input|Step changes" sheetId="53" r:id="rId6"/>
    <sheet name="Calc|Opex forecast_final" sheetId="42" r:id="rId7"/>
    <sheet name="Output|Models_final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change_final'!$C$25:$C$30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change_final'!$C$16:$C$21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62" i="55" l="1"/>
  <c r="C95" i="2" l="1" a="1"/>
  <c r="C96" i="2" s="1"/>
  <c r="C97" i="2" l="1"/>
  <c r="C99" i="2"/>
  <c r="C95" i="2"/>
  <c r="C98" i="2"/>
  <c r="N91" i="2" a="1"/>
  <c r="N91" i="2" s="1"/>
  <c r="P17" i="53" l="1"/>
  <c r="Q17" i="53" l="1"/>
  <c r="R17" i="53" l="1"/>
  <c r="S17" i="53" l="1"/>
  <c r="G60" i="55" l="1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64" i="55" l="1"/>
  <c r="G62" i="55" l="1"/>
  <c r="G63" i="55"/>
  <c r="G61" i="55"/>
  <c r="Q38" i="2" l="1"/>
  <c r="R38" i="2"/>
  <c r="S38" i="2"/>
  <c r="T38" i="2"/>
  <c r="P38" i="2"/>
  <c r="F47" i="58" l="1"/>
  <c r="F42" i="58"/>
  <c r="F43" i="58"/>
  <c r="F44" i="58"/>
  <c r="F45" i="58"/>
  <c r="F41" i="58"/>
  <c r="C78" i="4" l="1"/>
  <c r="K47" i="58" l="1"/>
  <c r="L47" i="58"/>
  <c r="N47" i="58"/>
  <c r="O47" i="58"/>
  <c r="P47" i="58"/>
  <c r="Q47" i="58"/>
  <c r="R47" i="58"/>
  <c r="S47" i="58"/>
  <c r="J47" i="58"/>
  <c r="W56" i="58"/>
  <c r="W29" i="58"/>
  <c r="T91" i="2" l="1" a="1"/>
  <c r="T91" i="2" s="1"/>
  <c r="S91" i="2" a="1"/>
  <c r="S91" i="2" s="1"/>
  <c r="R91" i="2" a="1"/>
  <c r="R91" i="2" s="1"/>
  <c r="Q91" i="2"/>
  <c r="Q91" i="2" a="1"/>
  <c r="O91" i="2" a="1"/>
  <c r="O91" i="2" s="1"/>
  <c r="M91" i="2" a="1"/>
  <c r="M91" i="2" s="1"/>
  <c r="L91" i="2" a="1"/>
  <c r="L91" i="2" s="1"/>
  <c r="K91" i="2" a="1"/>
  <c r="K91" i="2" s="1"/>
  <c r="J91" i="2" a="1"/>
  <c r="J91" i="2" s="1"/>
  <c r="C89" i="2"/>
  <c r="C88" i="2"/>
  <c r="C87" i="2"/>
  <c r="C86" i="2"/>
  <c r="C85" i="2"/>
  <c r="C84" i="2"/>
  <c r="W91" i="2" l="1"/>
  <c r="S1" i="58" l="1"/>
  <c r="F39" i="53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 l="1"/>
  <c r="G72" i="4" s="1"/>
  <c r="G73" i="4" s="1"/>
  <c r="G74" i="4" s="1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N4" i="42"/>
  <c r="M4" i="42"/>
  <c r="M35" i="42" s="1"/>
  <c r="L4" i="42"/>
  <c r="K4" i="42"/>
  <c r="K35" i="42" s="1"/>
  <c r="J4" i="42"/>
  <c r="J35" i="42" s="1"/>
  <c r="S4" i="53"/>
  <c r="S10" i="53" s="1"/>
  <c r="R4" i="53"/>
  <c r="Q4" i="53"/>
  <c r="P4" i="53"/>
  <c r="P37" i="53" s="1"/>
  <c r="O4" i="53"/>
  <c r="N4" i="53"/>
  <c r="N37" i="53" s="1"/>
  <c r="M4" i="53"/>
  <c r="L4" i="53"/>
  <c r="L37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T99" i="2" l="1"/>
  <c r="T98" i="2"/>
  <c r="R99" i="2"/>
  <c r="R98" i="2"/>
  <c r="P99" i="2"/>
  <c r="P98" i="2"/>
  <c r="Q98" i="2"/>
  <c r="Q99" i="2"/>
  <c r="S99" i="2"/>
  <c r="S98" i="2"/>
  <c r="N34" i="58"/>
  <c r="R34" i="58"/>
  <c r="R96" i="2"/>
  <c r="R95" i="2"/>
  <c r="Q61" i="42" s="1"/>
  <c r="R97" i="2"/>
  <c r="K97" i="2"/>
  <c r="K96" i="2"/>
  <c r="K95" i="2"/>
  <c r="K98" i="2"/>
  <c r="O97" i="2"/>
  <c r="O96" i="2"/>
  <c r="O95" i="2"/>
  <c r="O98" i="2"/>
  <c r="S97" i="2"/>
  <c r="S96" i="2"/>
  <c r="S95" i="2"/>
  <c r="L98" i="2"/>
  <c r="L97" i="2"/>
  <c r="L96" i="2"/>
  <c r="L95" i="2"/>
  <c r="P97" i="2"/>
  <c r="P96" i="2"/>
  <c r="P95" i="2"/>
  <c r="T97" i="2"/>
  <c r="T95" i="2"/>
  <c r="T96" i="2"/>
  <c r="N96" i="2"/>
  <c r="N97" i="2"/>
  <c r="N98" i="2"/>
  <c r="N95" i="2"/>
  <c r="M95" i="2"/>
  <c r="M98" i="2"/>
  <c r="M97" i="2"/>
  <c r="M96" i="2"/>
  <c r="Q95" i="2"/>
  <c r="Q97" i="2"/>
  <c r="Q96" i="2"/>
  <c r="J96" i="2"/>
  <c r="J97" i="2"/>
  <c r="J95" i="2"/>
  <c r="J98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103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7" i="53"/>
  <c r="J10" i="53"/>
  <c r="R27" i="53"/>
  <c r="R10" i="53"/>
  <c r="L49" i="42"/>
  <c r="L23" i="2"/>
  <c r="P23" i="2"/>
  <c r="T23" i="2"/>
  <c r="R34" i="2"/>
  <c r="N34" i="2"/>
  <c r="N47" i="2"/>
  <c r="R47" i="2"/>
  <c r="L103" i="2"/>
  <c r="P103" i="2"/>
  <c r="T103" i="2"/>
  <c r="L10" i="53"/>
  <c r="P27" i="53"/>
  <c r="K34" i="58"/>
  <c r="K10" i="58"/>
  <c r="Q34" i="58"/>
  <c r="Q10" i="58"/>
  <c r="N62" i="2"/>
  <c r="N73" i="2"/>
  <c r="N14" i="2"/>
  <c r="N10" i="2"/>
  <c r="N27" i="53"/>
  <c r="N10" i="53"/>
  <c r="J49" i="42"/>
  <c r="N23" i="2"/>
  <c r="R23" i="2"/>
  <c r="T34" i="2"/>
  <c r="P34" i="2"/>
  <c r="L34" i="2"/>
  <c r="L47" i="2"/>
  <c r="P47" i="2"/>
  <c r="T47" i="2"/>
  <c r="N103" i="2"/>
  <c r="R103" i="2"/>
  <c r="P10" i="53"/>
  <c r="L27" i="53"/>
  <c r="J37" i="53"/>
  <c r="R37" i="53"/>
  <c r="K37" i="53"/>
  <c r="K27" i="53"/>
  <c r="K10" i="53"/>
  <c r="M37" i="53"/>
  <c r="M27" i="53"/>
  <c r="M10" i="53"/>
  <c r="O37" i="53"/>
  <c r="O27" i="53"/>
  <c r="O10" i="53"/>
  <c r="Q37" i="53"/>
  <c r="Q27" i="53"/>
  <c r="Q10" i="53"/>
  <c r="S37" i="53"/>
  <c r="S27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3" i="2"/>
  <c r="M103" i="2"/>
  <c r="O103" i="2"/>
  <c r="Q103" i="2"/>
  <c r="S103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P61" i="42" l="1"/>
  <c r="O61" i="42"/>
  <c r="S61" i="42"/>
  <c r="R61" i="42"/>
  <c r="Q28" i="42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1" i="53"/>
  <c r="Q41" i="53"/>
  <c r="O41" i="53"/>
  <c r="N23" i="53"/>
  <c r="M41" i="53"/>
  <c r="L23" i="53"/>
  <c r="K41" i="53"/>
  <c r="J23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7" i="2"/>
  <c r="S107" i="2"/>
  <c r="Q107" i="2"/>
  <c r="O107" i="2"/>
  <c r="M107" i="2"/>
  <c r="C24" i="4"/>
  <c r="S9" i="54"/>
  <c r="K14" i="42" l="1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N88" i="42"/>
  <c r="N72" i="42"/>
  <c r="N58" i="42"/>
  <c r="N61" i="42" s="1"/>
  <c r="P88" i="42"/>
  <c r="P72" i="42"/>
  <c r="P58" i="42"/>
  <c r="R88" i="42"/>
  <c r="R72" i="42"/>
  <c r="R58" i="42"/>
  <c r="K58" i="42"/>
  <c r="M58" i="42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M23" i="53"/>
  <c r="K23" i="53"/>
  <c r="J33" i="53"/>
  <c r="L33" i="53"/>
  <c r="N33" i="53"/>
  <c r="P33" i="53"/>
  <c r="R33" i="53"/>
  <c r="J41" i="53"/>
  <c r="L41" i="53"/>
  <c r="N41" i="53"/>
  <c r="P41" i="53"/>
  <c r="R41" i="53"/>
  <c r="K33" i="53"/>
  <c r="M33" i="53"/>
  <c r="O33" i="53"/>
  <c r="Q33" i="53"/>
  <c r="S33" i="53"/>
  <c r="K45" i="2"/>
  <c r="M45" i="2"/>
  <c r="Q58" i="2"/>
  <c r="M58" i="2"/>
  <c r="O45" i="2"/>
  <c r="K58" i="2"/>
  <c r="O58" i="2"/>
  <c r="S58" i="2"/>
  <c r="L58" i="2"/>
  <c r="L45" i="2"/>
  <c r="L107" i="2"/>
  <c r="L71" i="2"/>
  <c r="N58" i="2"/>
  <c r="N45" i="2"/>
  <c r="N107" i="2"/>
  <c r="N71" i="2"/>
  <c r="P58" i="2"/>
  <c r="P107" i="2"/>
  <c r="P71" i="2"/>
  <c r="R58" i="2"/>
  <c r="R107" i="2"/>
  <c r="R71" i="2"/>
  <c r="T58" i="2"/>
  <c r="T107" i="2"/>
  <c r="T71" i="2"/>
  <c r="J58" i="2"/>
  <c r="J12" i="2"/>
  <c r="J107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J68" i="42" l="1" a="1"/>
  <c r="J68" i="42" s="1"/>
  <c r="J61" i="42"/>
  <c r="L68" i="42" a="1"/>
  <c r="L68" i="42" s="1"/>
  <c r="L61" i="42"/>
  <c r="M61" i="42"/>
  <c r="K68" i="42" a="1"/>
  <c r="K68" i="42" s="1"/>
  <c r="K61" i="42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41" i="53"/>
  <c r="W33" i="53"/>
  <c r="W58" i="2"/>
  <c r="W107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7" i="16"/>
  <c r="D17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5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s="1" a="1"/>
  <c r="M68" i="42" s="1"/>
  <c r="N68" i="42" l="1" a="1"/>
  <c r="N68" i="42" s="1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N20" i="2"/>
  <c r="O20" i="2" s="1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13" i="42" s="1"/>
  <c r="R26" i="42" s="1"/>
  <c r="R30" i="2"/>
  <c r="Q30" i="2"/>
  <c r="P13" i="42" s="1"/>
  <c r="P26" i="42" s="1"/>
  <c r="T30" i="2"/>
  <c r="E26" i="2"/>
  <c r="D26" i="2"/>
  <c r="S26" i="2"/>
  <c r="R26" i="2"/>
  <c r="Q26" i="2"/>
  <c r="T26" i="2"/>
  <c r="D19" i="2"/>
  <c r="E19" i="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S13" i="42" l="1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M47" i="58" s="1"/>
  <c r="N19" i="2"/>
  <c r="N28" i="2" s="1"/>
  <c r="Q13" i="42"/>
  <c r="Q26" i="42" s="1"/>
  <c r="J25" i="2"/>
  <c r="N29" i="2"/>
  <c r="M12" i="42" l="1"/>
  <c r="M13" i="42" s="1"/>
  <c r="M26" i="42" s="1"/>
  <c r="M20" i="42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P28" i="2"/>
  <c r="O20" i="42" s="1"/>
  <c r="P26" i="2"/>
  <c r="P27" i="2"/>
  <c r="M30" i="2"/>
  <c r="M27" i="2"/>
  <c r="N16" i="2" l="1"/>
  <c r="O16" i="2" s="1"/>
  <c r="N13" i="42"/>
  <c r="N26" i="42" s="1"/>
  <c r="O13" i="42"/>
  <c r="O26" i="42" s="1"/>
  <c r="L20" i="42"/>
  <c r="L13" i="42"/>
  <c r="L26" i="42" s="1"/>
  <c r="K21" i="2"/>
  <c r="O18" i="2"/>
  <c r="J19" i="2"/>
  <c r="J28" i="2" s="1"/>
  <c r="N17" i="2"/>
  <c r="M26" i="2"/>
  <c r="K20" i="2"/>
  <c r="K29" i="2" s="1"/>
  <c r="L30" i="2"/>
  <c r="L24" i="42" l="1"/>
  <c r="N22" i="42"/>
  <c r="J24" i="42"/>
  <c r="M24" i="42"/>
  <c r="J22" i="42"/>
  <c r="N25" i="2"/>
  <c r="L22" i="42"/>
  <c r="P22" i="42"/>
  <c r="S17" i="42"/>
  <c r="N24" i="42"/>
  <c r="Q22" i="42"/>
  <c r="K17" i="42"/>
  <c r="S22" i="42"/>
  <c r="Q24" i="42"/>
  <c r="S15" i="42"/>
  <c r="O15" i="42"/>
  <c r="O74" i="42"/>
  <c r="M38" i="42"/>
  <c r="O38" i="42"/>
  <c r="S38" i="42"/>
  <c r="Q38" i="42"/>
  <c r="L38" i="42"/>
  <c r="K74" i="42"/>
  <c r="R38" i="42"/>
  <c r="R74" i="42"/>
  <c r="P74" i="42"/>
  <c r="P38" i="42"/>
  <c r="J74" i="42"/>
  <c r="M74" i="42"/>
  <c r="L74" i="42"/>
  <c r="J38" i="42"/>
  <c r="S74" i="42"/>
  <c r="N38" i="42"/>
  <c r="Q74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O17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M29" i="42" s="1"/>
  <c r="N26" i="2"/>
  <c r="O27" i="2"/>
  <c r="P25" i="2"/>
  <c r="O25" i="2"/>
  <c r="K30" i="2"/>
  <c r="J79" i="42" l="1"/>
  <c r="L76" i="42"/>
  <c r="Q82" i="42"/>
  <c r="N82" i="42"/>
  <c r="Q29" i="42"/>
  <c r="J78" i="42"/>
  <c r="K80" i="42"/>
  <c r="S90" i="42"/>
  <c r="Q76" i="42"/>
  <c r="P29" i="42"/>
  <c r="P50" i="42"/>
  <c r="K44" i="42"/>
  <c r="M92" i="42"/>
  <c r="M16" i="44" s="1"/>
  <c r="Q80" i="42"/>
  <c r="J76" i="42"/>
  <c r="O80" i="42"/>
  <c r="K41" i="42"/>
  <c r="P75" i="42"/>
  <c r="M76" i="42"/>
  <c r="R29" i="42"/>
  <c r="S92" i="42"/>
  <c r="S16" i="44" s="1"/>
  <c r="K91" i="42"/>
  <c r="S47" i="42"/>
  <c r="M44" i="42"/>
  <c r="J82" i="42"/>
  <c r="L90" i="42"/>
  <c r="M81" i="42"/>
  <c r="Q79" i="42"/>
  <c r="Q92" i="42"/>
  <c r="Q16" i="44" s="1"/>
  <c r="R47" i="42"/>
  <c r="J47" i="42"/>
  <c r="N79" i="42"/>
  <c r="L80" i="42"/>
  <c r="K47" i="42"/>
  <c r="M91" i="42"/>
  <c r="M15" i="44" s="1"/>
  <c r="N76" i="42"/>
  <c r="J80" i="42"/>
  <c r="S75" i="42"/>
  <c r="O29" i="42"/>
  <c r="M50" i="42"/>
  <c r="J90" i="42"/>
  <c r="L92" i="42"/>
  <c r="J41" i="42"/>
  <c r="L78" i="42"/>
  <c r="Q44" i="42"/>
  <c r="O82" i="42"/>
  <c r="K81" i="42"/>
  <c r="L82" i="42"/>
  <c r="Q41" i="42"/>
  <c r="Q75" i="42"/>
  <c r="Q50" i="42"/>
  <c r="J92" i="42"/>
  <c r="O77" i="42"/>
  <c r="O90" i="42"/>
  <c r="O14" i="44" s="1"/>
  <c r="N41" i="42"/>
  <c r="P44" i="42"/>
  <c r="P90" i="42"/>
  <c r="P14" i="44" s="1"/>
  <c r="L29" i="42"/>
  <c r="N78" i="42"/>
  <c r="N75" i="42"/>
  <c r="O76" i="42"/>
  <c r="K90" i="42"/>
  <c r="M90" i="42"/>
  <c r="N47" i="42"/>
  <c r="P82" i="42"/>
  <c r="L50" i="42"/>
  <c r="N50" i="42"/>
  <c r="J81" i="42"/>
  <c r="L77" i="42"/>
  <c r="S91" i="42"/>
  <c r="S15" i="44" s="1"/>
  <c r="P77" i="42"/>
  <c r="O75" i="42"/>
  <c r="N44" i="42"/>
  <c r="P91" i="42"/>
  <c r="P15" i="44" s="1"/>
  <c r="Q77" i="42"/>
  <c r="Q91" i="42"/>
  <c r="Q15" i="44" s="1"/>
  <c r="J77" i="42"/>
  <c r="K50" i="42"/>
  <c r="N29" i="42"/>
  <c r="R76" i="42"/>
  <c r="J50" i="42"/>
  <c r="R90" i="42"/>
  <c r="R14" i="44" s="1"/>
  <c r="P76" i="42"/>
  <c r="L44" i="42"/>
  <c r="L47" i="42"/>
  <c r="R75" i="42"/>
  <c r="S41" i="42"/>
  <c r="O79" i="42"/>
  <c r="N91" i="42"/>
  <c r="N15" i="44" s="1"/>
  <c r="O91" i="42"/>
  <c r="O15" i="44" s="1"/>
  <c r="R44" i="42"/>
  <c r="R91" i="42"/>
  <c r="R15" i="44" s="1"/>
  <c r="R50" i="42"/>
  <c r="K82" i="42"/>
  <c r="O81" i="42"/>
  <c r="S77" i="42"/>
  <c r="O92" i="42"/>
  <c r="O16" i="44" s="1"/>
  <c r="R92" i="42"/>
  <c r="R16" i="44" s="1"/>
  <c r="N77" i="42"/>
  <c r="N81" i="42"/>
  <c r="K78" i="42"/>
  <c r="L79" i="42"/>
  <c r="M41" i="42"/>
  <c r="M78" i="42"/>
  <c r="L91" i="42"/>
  <c r="N90" i="42"/>
  <c r="P47" i="42"/>
  <c r="R81" i="42"/>
  <c r="Q81" i="42"/>
  <c r="M47" i="42"/>
  <c r="S76" i="42"/>
  <c r="P81" i="42"/>
  <c r="R41" i="42"/>
  <c r="S79" i="42"/>
  <c r="L41" i="42"/>
  <c r="J29" i="42"/>
  <c r="P41" i="42"/>
  <c r="J91" i="42"/>
  <c r="Q47" i="42"/>
  <c r="O47" i="42"/>
  <c r="K92" i="42"/>
  <c r="S82" i="42"/>
  <c r="L75" i="42"/>
  <c r="S50" i="42"/>
  <c r="M82" i="42"/>
  <c r="O50" i="42"/>
  <c r="O44" i="42"/>
  <c r="L81" i="42"/>
  <c r="O41" i="42"/>
  <c r="P92" i="42"/>
  <c r="P16" i="44" s="1"/>
  <c r="N80" i="42"/>
  <c r="K75" i="42"/>
  <c r="S81" i="42"/>
  <c r="M80" i="42"/>
  <c r="R82" i="42"/>
  <c r="K76" i="42"/>
  <c r="J44" i="42"/>
  <c r="R77" i="42"/>
  <c r="M77" i="42"/>
  <c r="S80" i="42"/>
  <c r="R80" i="42"/>
  <c r="Q90" i="42"/>
  <c r="P79" i="42"/>
  <c r="K77" i="42"/>
  <c r="J75" i="42"/>
  <c r="M79" i="42"/>
  <c r="K29" i="42"/>
  <c r="S44" i="42"/>
  <c r="R79" i="42"/>
  <c r="S29" i="42"/>
  <c r="M75" i="42"/>
  <c r="P80" i="42"/>
  <c r="N92" i="42"/>
  <c r="N16" i="44" s="1"/>
  <c r="K79" i="42"/>
  <c r="N14" i="44"/>
  <c r="M14" i="44"/>
  <c r="J13" i="42"/>
  <c r="J26" i="42" s="1"/>
  <c r="J20" i="42"/>
  <c r="O26" i="2"/>
  <c r="K52" i="42" l="1"/>
  <c r="K54" i="42" s="1"/>
  <c r="Q94" i="42"/>
  <c r="L94" i="42"/>
  <c r="M94" i="42"/>
  <c r="P94" i="42"/>
  <c r="K94" i="42"/>
  <c r="R52" i="42"/>
  <c r="R54" i="42" s="1"/>
  <c r="S52" i="42"/>
  <c r="S54" i="42" s="1"/>
  <c r="N94" i="42"/>
  <c r="Q52" i="42"/>
  <c r="Q54" i="42" s="1"/>
  <c r="S94" i="42"/>
  <c r="M84" i="42"/>
  <c r="J84" i="42"/>
  <c r="R94" i="42"/>
  <c r="N84" i="42"/>
  <c r="Q14" i="44"/>
  <c r="S14" i="44"/>
  <c r="K84" i="42"/>
  <c r="L84" i="42"/>
  <c r="P52" i="42"/>
  <c r="P54" i="42" s="1"/>
  <c r="O94" i="42"/>
  <c r="J52" i="42"/>
  <c r="J54" i="42" s="1"/>
  <c r="J94" i="42"/>
  <c r="O33" i="42"/>
  <c r="O52" i="42" s="1"/>
  <c r="L35" i="42"/>
  <c r="O35" i="42"/>
  <c r="L33" i="42"/>
  <c r="L52" i="42" s="1"/>
  <c r="N35" i="42"/>
  <c r="O54" i="42" l="1"/>
  <c r="L54" i="42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1" i="42"/>
  <c r="N100" i="42"/>
  <c r="N13" i="44" s="1"/>
  <c r="N102" i="42"/>
  <c r="Q23" i="53" l="1"/>
  <c r="Q78" i="42"/>
  <c r="Q84" i="42" s="1"/>
  <c r="R23" i="53"/>
  <c r="R78" i="42"/>
  <c r="R84" i="42" s="1"/>
  <c r="P23" i="53"/>
  <c r="P78" i="42"/>
  <c r="P84" i="42" s="1"/>
  <c r="O23" i="53"/>
  <c r="O78" i="42"/>
  <c r="O84" i="42" s="1"/>
  <c r="S23" i="53"/>
  <c r="S78" i="42"/>
  <c r="S84" i="42" s="1"/>
  <c r="S101" i="42" l="1"/>
  <c r="S100" i="42"/>
  <c r="S13" i="44" s="1"/>
  <c r="Q101" i="42"/>
  <c r="Q100" i="42"/>
  <c r="Q13" i="44" s="1"/>
  <c r="W23" i="53"/>
  <c r="S1" i="53" s="1"/>
  <c r="G14" i="16" s="1"/>
  <c r="S1" i="16" s="1"/>
  <c r="R100" i="42"/>
  <c r="R13" i="44" s="1"/>
  <c r="R101" i="42"/>
  <c r="O100" i="42"/>
  <c r="O13" i="44" s="1"/>
  <c r="O101" i="42"/>
  <c r="P101" i="42"/>
  <c r="P100" i="42"/>
  <c r="P13" i="44" s="1"/>
  <c r="P102" i="42" l="1"/>
  <c r="R102" i="42"/>
  <c r="Q102" i="42"/>
  <c r="V1" i="44"/>
  <c r="V1" i="54"/>
  <c r="V1" i="53"/>
  <c r="V1" i="42"/>
  <c r="W1" i="55"/>
  <c r="W1" i="2"/>
  <c r="V1" i="58"/>
  <c r="V1" i="4"/>
  <c r="O102" i="42"/>
  <c r="S102" i="42"/>
</calcChain>
</file>

<file path=xl/sharedStrings.xml><?xml version="1.0" encoding="utf-8"?>
<sst xmlns="http://schemas.openxmlformats.org/spreadsheetml/2006/main" count="722" uniqueCount="224">
  <si>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</si>
  <si>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</si>
  <si>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</si>
  <si>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</si>
  <si>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</si>
  <si>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</si>
  <si>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</si>
  <si>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</si>
  <si>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</si>
  <si>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</si>
  <si>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</si>
  <si>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</si>
  <si>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</si>
  <si>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</si>
  <si>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</si>
  <si>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</si>
  <si>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</si>
  <si>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</si>
  <si>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</si>
  <si>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</si>
  <si>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</si>
  <si>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</si>
  <si>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</si>
  <si>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</si>
  <si>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</si>
  <si>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</si>
  <si>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</si>
  <si>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</si>
  <si>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</si>
  <si>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</si>
  <si>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</si>
  <si>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</si>
  <si>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</si>
  <si>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</si>
  <si>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</si>
  <si>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</si>
  <si>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</si>
  <si>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</si>
  <si>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</si>
  <si>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</si>
  <si>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</si>
  <si>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</si>
  <si>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</si>
  <si>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</si>
  <si>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</si>
  <si>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</si>
  <si>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</si>
  <si>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</si>
  <si>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</si>
  <si>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</si>
  <si>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</si>
  <si>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</si>
  <si>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</si>
  <si>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</si>
  <si>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</si>
  <si>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</si>
  <si>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</si>
  <si>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</si>
  <si>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</si>
  <si>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</si>
  <si>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</si>
  <si>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</si>
  <si>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</si>
  <si>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 | Decision tables</t>
  </si>
  <si>
    <t>Outputs the tables used in the AER's draft and final decisions.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</si>
  <si>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</si>
  <si>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</si>
  <si>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</si>
  <si>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</si>
  <si>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</si>
  <si>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</si>
  <si>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</si>
  <si>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</si>
  <si>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</si>
  <si>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</si>
  <si>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</si>
  <si>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</si>
  <si>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</si>
  <si>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</si>
  <si>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</si>
  <si>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</si>
  <si>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</si>
  <si>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</si>
  <si>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</si>
  <si>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</si>
  <si>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</si>
  <si>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</si>
  <si>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</si>
  <si>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</si>
  <si>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</si>
  <si>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</si>
  <si>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</si>
  <si>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</si>
  <si>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</si>
  <si>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</si>
  <si>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</si>
  <si>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</si>
  <si>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</si>
  <si>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</si>
  <si>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</si>
  <si>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</si>
  <si>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</si>
  <si>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</si>
  <si>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</si>
  <si>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</si>
  <si>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</si>
  <si>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</si>
  <si>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</si>
  <si>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</si>
  <si>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</si>
  <si>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</si>
  <si>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</si>
  <si>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</si>
  <si>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</si>
  <si>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</si>
  <si>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Output | Decomposition</t>
  </si>
  <si>
    <t>Compares the key drivers of the NSPs' proposal and the AER's decision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</si>
  <si>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</si>
  <si>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</si>
  <si>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</si>
  <si>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</si>
  <si>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</si>
  <si>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</si>
  <si>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</si>
  <si>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</si>
  <si>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</si>
  <si>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</si>
  <si>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</si>
  <si>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</si>
  <si>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</si>
  <si>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</si>
  <si>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</si>
  <si>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</si>
  <si>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</si>
  <si>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</si>
  <si>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</si>
  <si>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</si>
  <si>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</si>
  <si>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</si>
  <si>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</si>
  <si>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</si>
  <si>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</si>
  <si>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</si>
  <si>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</si>
  <si>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</si>
  <si>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</si>
  <si>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</si>
  <si>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</si>
  <si>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</si>
  <si>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</si>
  <si>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</si>
  <si>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</si>
  <si>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</si>
  <si>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</si>
  <si>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</si>
  <si>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</si>
  <si>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</si>
  <si>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</si>
  <si>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</si>
  <si>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</si>
  <si>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</si>
  <si>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</si>
  <si>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</si>
  <si>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</si>
  <si>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</si>
  <si>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</si>
  <si>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</si>
  <si>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</si>
  <si>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</si>
  <si>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</si>
  <si>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</si>
  <si>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</si>
  <si>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</si>
  <si>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</si>
  <si>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</si>
  <si>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</si>
  <si>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</si>
  <si>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</si>
  <si>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</si>
  <si>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</si>
  <si>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</si>
  <si>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</si>
  <si>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</si>
  <si>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</si>
  <si>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</si>
  <si>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</si>
  <si>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</si>
  <si>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</si>
  <si>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</si>
  <si>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</si>
  <si>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</si>
  <si>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</si>
  <si>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</si>
  <si>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</si>
  <si>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</si>
  <si>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</si>
  <si>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Movement in provisions</t>
  </si>
  <si>
    <t>DMIA/DMIS</t>
  </si>
  <si>
    <t>Total opex to be trended</t>
  </si>
  <si>
    <t>Non-recurrent efficiency gain in the base year</t>
  </si>
  <si>
    <t>Adjustment can be postive or negative.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</si>
  <si>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</si>
  <si>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</si>
  <si>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</si>
  <si>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</si>
  <si>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</si>
  <si>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</si>
  <si>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SA Power Networks</t>
  </si>
  <si>
    <t>LV Management - Future Networks</t>
  </si>
  <si>
    <t>Cloud Transition - Cloud Hosting</t>
  </si>
  <si>
    <t>Cloud Transition - Work Scheduling</t>
  </si>
  <si>
    <t>Critical Infrastructure Compliance</t>
  </si>
  <si>
    <t>Cable/Conductor Repair</t>
  </si>
  <si>
    <t>GSL reliability duration payments</t>
  </si>
  <si>
    <t>WPI - BIS</t>
  </si>
  <si>
    <t>WPI - average of DAE and BIS</t>
  </si>
  <si>
    <t>final</t>
  </si>
  <si>
    <t>SAPN confirmed that, from 2015-16, the SCS opex reported in its annual RINs does not include DMIA costs (even though it incurs DMIA opex which it reported on worksheet 7.11). See #IR034 question 5.</t>
  </si>
  <si>
    <t>Distribution Licence Fee</t>
  </si>
  <si>
    <t>LV Monitoring</t>
  </si>
  <si>
    <t>Bushfire insurance premiums</t>
  </si>
  <si>
    <t>Utilities Cyber Maturity Uplift</t>
  </si>
  <si>
    <t>SFA TLG</t>
  </si>
  <si>
    <t>RBA statement of monetary policy inflation forecast,  May 2020, Appendix (trimmed mean)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</si>
</sst>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2"/>
      <color indexed="8"/>
      <name val="Verdana"/>
      <family val="2"/>
    </font>
    <font>
      <b/>
      <sz val="12"/>
      <color theme="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70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3" fillId="0" borderId="0"/>
    <xf numFmtId="178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80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2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3" fontId="20" fillId="6" borderId="0" applyFont="0" applyBorder="0">
      <alignment horizontal="right"/>
      <protection locked="0"/>
    </xf>
    <xf numFmtId="183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4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5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6" fontId="20" fillId="0" borderId="0" applyFill="0" applyBorder="0"/>
    <xf numFmtId="186" fontId="20" fillId="0" borderId="0" applyFill="0" applyBorder="0"/>
    <xf numFmtId="186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2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7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8" fontId="20" fillId="0" borderId="0"/>
    <xf numFmtId="188" fontId="20" fillId="0" borderId="0"/>
    <xf numFmtId="188" fontId="20" fillId="0" borderId="0"/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191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4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2" fontId="20" fillId="0" borderId="7" applyBorder="0" applyProtection="0">
      <alignment horizontal="right"/>
    </xf>
    <xf numFmtId="192" fontId="20" fillId="0" borderId="7" applyBorder="0" applyProtection="0">
      <alignment horizontal="right"/>
    </xf>
    <xf numFmtId="192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2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91" fillId="50" borderId="0">
      <alignment vertical="center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22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3" fontId="13" fillId="0" borderId="0" xfId="5" applyNumberFormat="1" applyFont="1" applyFill="1" applyBorder="1" applyAlignment="1" applyProtection="1">
      <alignment horizontal="center" vertical="center"/>
    </xf>
    <xf numFmtId="174" fontId="10" fillId="0" borderId="0" xfId="5" applyNumberFormat="1" applyFont="1" applyFill="1" applyBorder="1" applyAlignment="1" applyProtection="1">
      <alignment horizontal="center" vertical="center"/>
    </xf>
    <xf numFmtId="174" fontId="18" fillId="0" borderId="0" xfId="5" applyNumberFormat="1" applyFont="1" applyFill="1" applyBorder="1" applyAlignment="1" applyProtection="1">
      <alignment horizontal="center" vertical="center"/>
    </xf>
    <xf numFmtId="175" fontId="4" fillId="0" borderId="0" xfId="0" applyNumberFormat="1" applyFont="1"/>
    <xf numFmtId="177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3" fontId="4" fillId="41" borderId="3" xfId="0" applyNumberFormat="1" applyFont="1" applyFill="1" applyBorder="1" applyAlignment="1" applyProtection="1">
      <alignment horizontal="center"/>
      <protection locked="0"/>
    </xf>
    <xf numFmtId="197" fontId="4" fillId="0" borderId="0" xfId="0" applyNumberFormat="1" applyFont="1" applyAlignment="1" applyProtection="1">
      <alignment horizontal="left"/>
    </xf>
    <xf numFmtId="195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8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8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6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5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1" fontId="4" fillId="0" borderId="0" xfId="0" applyNumberFormat="1" applyFont="1" applyAlignment="1" applyProtection="1">
      <alignment horizontal="center"/>
    </xf>
    <xf numFmtId="201" fontId="6" fillId="0" borderId="0" xfId="0" applyNumberFormat="1" applyFont="1" applyAlignment="1" applyProtection="1">
      <alignment horizontal="center"/>
    </xf>
    <xf numFmtId="199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2" fontId="13" fillId="0" borderId="0" xfId="2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Protection="1"/>
    <xf numFmtId="168" fontId="4" fillId="0" borderId="0" xfId="0" applyNumberFormat="1" applyFont="1" applyAlignment="1" applyProtection="1">
      <alignment horizontal="left"/>
    </xf>
    <xf numFmtId="194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6" fontId="5" fillId="41" borderId="3" xfId="2" applyNumberFormat="1" applyFont="1" applyFill="1" applyBorder="1" applyAlignment="1" applyProtection="1">
      <alignment horizontal="center"/>
      <protection locked="0"/>
    </xf>
    <xf numFmtId="200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3" fontId="6" fillId="0" borderId="0" xfId="0" applyNumberFormat="1" applyFont="1" applyAlignment="1" applyProtection="1">
      <alignment horizontal="center"/>
    </xf>
    <xf numFmtId="204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5" fontId="72" fillId="39" borderId="4" xfId="0" applyNumberFormat="1" applyFont="1" applyFill="1" applyBorder="1" applyAlignment="1" applyProtection="1">
      <alignment horizontal="center" wrapText="1"/>
    </xf>
    <xf numFmtId="205" fontId="89" fillId="38" borderId="2" xfId="0" applyNumberFormat="1" applyFont="1" applyFill="1" applyBorder="1" applyAlignment="1" applyProtection="1">
      <alignment horizontal="center"/>
    </xf>
    <xf numFmtId="205" fontId="72" fillId="38" borderId="2" xfId="0" applyNumberFormat="1" applyFont="1" applyFill="1" applyBorder="1" applyAlignment="1" applyProtection="1">
      <alignment horizontal="left"/>
    </xf>
    <xf numFmtId="205" fontId="6" fillId="0" borderId="7" xfId="0" applyNumberFormat="1" applyFont="1" applyBorder="1" applyAlignment="1" applyProtection="1">
      <alignment horizontal="center"/>
    </xf>
    <xf numFmtId="205" fontId="4" fillId="0" borderId="0" xfId="0" applyNumberFormat="1" applyFont="1" applyAlignment="1">
      <alignment horizontal="left" indent="1"/>
    </xf>
    <xf numFmtId="205" fontId="5" fillId="0" borderId="0" xfId="0" applyNumberFormat="1" applyFont="1" applyAlignment="1" applyProtection="1">
      <alignment horizontal="center"/>
    </xf>
    <xf numFmtId="205" fontId="5" fillId="41" borderId="22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5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6" fontId="4" fillId="0" borderId="0" xfId="2" applyNumberFormat="1" applyFont="1" applyFill="1" applyBorder="1" applyAlignment="1" applyProtection="1">
      <alignment horizontal="center"/>
      <protection locked="0"/>
    </xf>
    <xf numFmtId="205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5" fontId="16" fillId="0" borderId="0" xfId="0" applyNumberFormat="1" applyFont="1" applyAlignment="1" applyProtection="1">
      <alignment horizontal="center"/>
    </xf>
    <xf numFmtId="201" fontId="4" fillId="0" borderId="0" xfId="0" applyNumberFormat="1" applyFont="1" applyBorder="1" applyAlignment="1" applyProtection="1">
      <alignment horizontal="center"/>
    </xf>
    <xf numFmtId="201" fontId="6" fillId="0" borderId="0" xfId="0" applyNumberFormat="1" applyFont="1" applyBorder="1" applyAlignment="1" applyProtection="1">
      <alignment horizontal="center"/>
    </xf>
    <xf numFmtId="198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5" fontId="5" fillId="0" borderId="7" xfId="0" applyNumberFormat="1" applyFont="1" applyBorder="1" applyAlignment="1" applyProtection="1">
      <alignment horizontal="center"/>
    </xf>
    <xf numFmtId="206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5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5" fontId="4" fillId="0" borderId="0" xfId="0" applyNumberFormat="1" applyFont="1" applyProtection="1">
      <protection locked="0"/>
    </xf>
    <xf numFmtId="195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5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2" fontId="4" fillId="0" borderId="0" xfId="2" applyNumberFormat="1" applyFont="1" applyAlignment="1" applyProtection="1">
      <alignment horizontal="center"/>
      <protection locked="0"/>
    </xf>
    <xf numFmtId="174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5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2" fontId="4" fillId="0" borderId="0" xfId="2" applyNumberFormat="1" applyFont="1" applyFill="1" applyBorder="1" applyAlignment="1" applyProtection="1">
      <alignment horizontal="center"/>
      <protection locked="0"/>
    </xf>
    <xf numFmtId="205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5" fontId="17" fillId="8" borderId="9" xfId="0" applyNumberFormat="1" applyFont="1" applyFill="1" applyBorder="1" applyAlignment="1" applyProtection="1">
      <alignment horizontal="center"/>
      <protection locked="0"/>
    </xf>
    <xf numFmtId="207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5" fontId="13" fillId="8" borderId="9" xfId="0" applyNumberFormat="1" applyFont="1" applyFill="1" applyBorder="1" applyAlignment="1" applyProtection="1">
      <alignment horizontal="center"/>
      <protection locked="0"/>
    </xf>
    <xf numFmtId="194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5" fontId="5" fillId="41" borderId="3" xfId="0" applyNumberFormat="1" applyFont="1" applyFill="1" applyBorder="1" applyAlignment="1" applyProtection="1">
      <alignment horizontal="center"/>
    </xf>
    <xf numFmtId="193" fontId="90" fillId="0" borderId="0" xfId="0" applyNumberFormat="1" applyFont="1" applyBorder="1" applyAlignment="1" applyProtection="1">
      <protection locked="0"/>
    </xf>
    <xf numFmtId="182" fontId="5" fillId="0" borderId="0" xfId="2" applyNumberFormat="1" applyFont="1" applyAlignment="1" applyProtection="1">
      <alignment horizontal="center"/>
      <protection locked="0"/>
    </xf>
    <xf numFmtId="0" fontId="12" fillId="0" borderId="0" xfId="3"/>
    <xf numFmtId="10" fontId="4" fillId="0" borderId="0" xfId="2" applyNumberFormat="1" applyFont="1" applyAlignment="1" applyProtection="1">
      <alignment horizontal="center"/>
      <protection locked="0"/>
    </xf>
    <xf numFmtId="168" fontId="12" fillId="0" borderId="0" xfId="3" applyNumberFormat="1" applyProtection="1"/>
    <xf numFmtId="164" fontId="4" fillId="0" borderId="0" xfId="0" applyNumberFormat="1" applyFont="1" applyProtection="1"/>
    <xf numFmtId="0" fontId="72" fillId="38" borderId="2" xfId="0" applyNumberFormat="1" applyFont="1" applyFill="1" applyBorder="1" applyAlignment="1" applyProtection="1">
      <alignment horizontal="center"/>
    </xf>
  </cellXfs>
  <cellStyles count="270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9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65"/>
    <cellStyle name="Normal 11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 5" xfId="268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6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ableLvl3" xfId="267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100"/>
      <color rgb="FFDBE5F1"/>
      <color rgb="FFDAEEF3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33</xdr:row>
      <xdr:rowOff>140119</xdr:rowOff>
    </xdr:from>
    <xdr:to>
      <xdr:col>14</xdr:col>
      <xdr:colOff>581025</xdr:colOff>
      <xdr:row>39</xdr:row>
      <xdr:rowOff>28406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4731169"/>
          <a:ext cx="3571875" cy="745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101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69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67</v>
      </c>
      <c r="D7" s="7" t="s">
        <v>68</v>
      </c>
    </row>
    <row r="8" spans="1:47">
      <c r="C8" s="19" t="s">
        <v>35</v>
      </c>
      <c r="D8" s="7" t="s">
        <v>103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66</v>
      </c>
      <c r="D11" s="7" t="s">
        <v>52</v>
      </c>
    </row>
    <row r="12" spans="1:47">
      <c r="C12" s="19" t="s">
        <v>56</v>
      </c>
      <c r="D12" s="7" t="s">
        <v>181</v>
      </c>
    </row>
    <row r="13" spans="1:47">
      <c r="C13" s="19" t="s">
        <v>55</v>
      </c>
      <c r="D13" s="7" t="s">
        <v>182</v>
      </c>
    </row>
    <row r="14" spans="1:47">
      <c r="C14" s="19" t="s">
        <v>63</v>
      </c>
      <c r="D14" s="7" t="s">
        <v>64</v>
      </c>
    </row>
    <row r="15" spans="1:47">
      <c r="C15" s="19" t="s">
        <v>115</v>
      </c>
      <c r="D15" s="7" t="s">
        <v>116</v>
      </c>
    </row>
    <row r="16" spans="1:47">
      <c r="C16" s="19" t="s">
        <v>54</v>
      </c>
      <c r="D16" s="7" t="s">
        <v>65</v>
      </c>
    </row>
    <row r="17" spans="1:47">
      <c r="C17" s="19" t="s">
        <v>25</v>
      </c>
      <c r="D17" s="7" t="s">
        <v>53</v>
      </c>
    </row>
    <row r="18" spans="1:47" ht="12.75">
      <c r="C18" s="10"/>
      <c r="D18" s="7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  <c r="F26" s="25"/>
    </row>
    <row r="27" spans="1:47" hidden="1">
      <c r="C27" s="7"/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idden="1">
      <c r="D32" s="7"/>
    </row>
    <row r="33" spans="3:4" ht="12.75" hidden="1">
      <c r="C33" s="10"/>
      <c r="D33" s="7"/>
    </row>
    <row r="34" spans="3:4" hidden="1"/>
  </sheetData>
  <hyperlinks>
    <hyperlink ref="C14" location="'Output|AAI Tables'!A1" display="Output | AAI Tables"/>
    <hyperlink ref="C12" location="'Calc|Opex Forecast'!A1" display="Calc | Opex Forecast"/>
    <hyperlink ref="C13" location="'Output|Models'!A1" display="Output | Models"/>
    <hyperlink ref="C16" location="'Lookup|Tables'!A1" display="Lookup | Tables"/>
    <hyperlink ref="C17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  <hyperlink ref="C15" location="'Output|Decomposition'!A1" display="Output | Decomposi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topLeftCell="C1" zoomScale="115" zoomScaleNormal="115" workbookViewId="0">
      <selection activeCell="G15" sqref="G15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88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99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100</v>
      </c>
      <c r="D6" s="32" t="s">
        <v>7</v>
      </c>
      <c r="E6" s="32"/>
      <c r="F6" s="33"/>
      <c r="G6" s="33" t="s">
        <v>73</v>
      </c>
      <c r="H6" s="33"/>
      <c r="I6" s="29"/>
    </row>
    <row r="7" spans="1:47">
      <c r="C7" s="29" t="s">
        <v>70</v>
      </c>
      <c r="D7" s="30" t="s">
        <v>74</v>
      </c>
      <c r="E7" s="29"/>
      <c r="F7" s="29"/>
      <c r="G7" s="52" t="s">
        <v>207</v>
      </c>
      <c r="H7" s="29"/>
      <c r="I7" s="29"/>
      <c r="S7" s="131" t="str">
        <f>IF(COUNTBLANK($G7),"Check","Ok")</f>
        <v>Ok</v>
      </c>
    </row>
    <row r="8" spans="1:47">
      <c r="C8" s="29" t="s">
        <v>148</v>
      </c>
      <c r="D8" s="30" t="s">
        <v>75</v>
      </c>
      <c r="E8" s="29"/>
      <c r="F8" s="29"/>
      <c r="G8" s="52" t="s">
        <v>216</v>
      </c>
      <c r="H8" s="29"/>
      <c r="I8" s="29"/>
      <c r="S8" s="131" t="str">
        <f>IF(COUNTBLANK($G8),"Check","Ok")</f>
        <v>Ok</v>
      </c>
    </row>
    <row r="9" spans="1:47">
      <c r="C9" s="29" t="s">
        <v>132</v>
      </c>
      <c r="D9" s="30" t="s">
        <v>74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162</v>
      </c>
      <c r="D10" s="30" t="s">
        <v>74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77</v>
      </c>
      <c r="D11" s="30" t="s">
        <v>74</v>
      </c>
      <c r="E11" s="29"/>
      <c r="F11" s="29"/>
      <c r="G11" s="155">
        <v>2019</v>
      </c>
      <c r="H11" s="29"/>
      <c r="I11" s="29"/>
      <c r="S11" s="131" t="str">
        <f t="shared" si="0"/>
        <v>Ok</v>
      </c>
    </row>
    <row r="12" spans="1:47">
      <c r="C12" s="29" t="s">
        <v>163</v>
      </c>
      <c r="D12" s="30" t="s">
        <v>74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71</v>
      </c>
      <c r="D13" s="30" t="s">
        <v>74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72</v>
      </c>
      <c r="D14" s="30" t="s">
        <v>74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203</v>
      </c>
      <c r="D15" s="30" t="s">
        <v>75</v>
      </c>
      <c r="E15" s="29"/>
      <c r="F15" s="29"/>
      <c r="G15" s="155" t="s">
        <v>206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8" priority="13" operator="equal">
      <formula>"Check"</formula>
    </cfRule>
    <cfRule type="cellIs" dxfId="197" priority="14" operator="equal">
      <formula>"Ok"</formula>
    </cfRule>
  </conditionalFormatting>
  <conditionalFormatting sqref="V1">
    <cfRule type="cellIs" dxfId="196" priority="3" operator="equal">
      <formula>"Check"</formula>
    </cfRule>
    <cfRule type="cellIs" dxfId="195" priority="4" operator="equal">
      <formula>"Ok"</formula>
    </cfRule>
  </conditionalFormatting>
  <conditionalFormatting sqref="S7:S15">
    <cfRule type="cellIs" dxfId="194" priority="5" operator="equal">
      <formula>"Check"</formula>
    </cfRule>
    <cfRule type="cellIs" dxfId="193" priority="6" operator="equal">
      <formula>"Ok"</formula>
    </cfRule>
  </conditionalFormatting>
  <conditionalFormatting sqref="S1">
    <cfRule type="cellIs" dxfId="192" priority="1" operator="equal">
      <formula>"Check"</formula>
    </cfRule>
    <cfRule type="cellIs" dxfId="191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88</v>
      </c>
      <c r="T1" s="76" t="str">
        <f>IF(COUNTA($T$5:$T$65)=COUNTIF($T5:$T66,"OK"),"OK","Check")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99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104</v>
      </c>
      <c r="E6" s="62" t="s">
        <v>146</v>
      </c>
      <c r="F6" s="62" t="s">
        <v>104</v>
      </c>
      <c r="G6" s="62" t="s">
        <v>146</v>
      </c>
      <c r="H6" s="62"/>
      <c r="I6" s="29"/>
      <c r="J6" s="29"/>
    </row>
    <row r="7" spans="1:48">
      <c r="C7" s="67" t="s">
        <v>7</v>
      </c>
      <c r="D7" s="66" t="s">
        <v>102</v>
      </c>
      <c r="E7" s="66" t="s">
        <v>30</v>
      </c>
      <c r="F7" s="66" t="s">
        <v>102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89</v>
      </c>
      <c r="E8" s="66" t="s">
        <v>16</v>
      </c>
      <c r="F8" s="66" t="s">
        <v>89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9"/>
      <c r="I55" s="220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9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9"/>
      <c r="I60" s="29"/>
      <c r="J60" s="29"/>
      <c r="N60" s="220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9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F58*1.015</f>
        <v>116.52199999999999</v>
      </c>
      <c r="G62" s="117">
        <f t="shared" si="1"/>
        <v>1.4999999999999902E-2</v>
      </c>
      <c r="H62" s="189" t="s">
        <v>223</v>
      </c>
      <c r="I62" s="29"/>
      <c r="J62" s="29"/>
      <c r="N62" s="222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9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9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90" priority="11" operator="equal">
      <formula>"Check"</formula>
    </cfRule>
    <cfRule type="cellIs" dxfId="189" priority="12" operator="equal">
      <formula>"Ok"</formula>
    </cfRule>
  </conditionalFormatting>
  <conditionalFormatting sqref="W1">
    <cfRule type="cellIs" dxfId="188" priority="7" operator="equal">
      <formula>"Check"</formula>
    </cfRule>
    <cfRule type="cellIs" dxfId="187" priority="8" operator="equal">
      <formula>"Ok"</formula>
    </cfRule>
  </conditionalFormatting>
  <conditionalFormatting sqref="T1">
    <cfRule type="cellIs" dxfId="186" priority="5" operator="equal">
      <formula>"Check"</formula>
    </cfRule>
    <cfRule type="cellIs" dxfId="185" priority="6" operator="equal">
      <formula>"Ok"</formula>
    </cfRule>
  </conditionalFormatting>
  <conditionalFormatting sqref="X51:X57">
    <cfRule type="cellIs" dxfId="184" priority="3" operator="equal">
      <formula>"Check"</formula>
    </cfRule>
    <cfRule type="cellIs" dxfId="183" priority="4" operator="equal">
      <formula>"Ok"</formula>
    </cfRule>
  </conditionalFormatting>
  <conditionalFormatting sqref="X58:X62 T9:T64">
    <cfRule type="cellIs" dxfId="182" priority="1" operator="equal">
      <formula>"Check"</formula>
    </cfRule>
    <cfRule type="cellIs" dxfId="181" priority="2" operator="equal">
      <formula>"Ok"</formula>
    </cfRule>
  </conditionalFormatting>
  <dataValidations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topLeftCell="A49" zoomScale="115" zoomScaleNormal="115" workbookViewId="0">
      <selection activeCell="N70" sqref="N7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88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132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82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79</v>
      </c>
      <c r="D13" s="30" t="s">
        <v>75</v>
      </c>
      <c r="E13" s="172" t="s">
        <v>15</v>
      </c>
      <c r="F13" s="172">
        <v>42156</v>
      </c>
      <c r="G13" s="32"/>
      <c r="H13" s="32"/>
      <c r="I13" s="30"/>
      <c r="J13" s="164">
        <v>243.4477003637104</v>
      </c>
      <c r="K13" s="164">
        <v>252.21103472744821</v>
      </c>
      <c r="L13" s="164">
        <v>252.10740800605635</v>
      </c>
      <c r="M13" s="164">
        <v>255.38388251908367</v>
      </c>
      <c r="N13" s="164">
        <v>258.47459679417227</v>
      </c>
      <c r="O13" s="152"/>
      <c r="P13" s="152"/>
      <c r="Q13" s="152"/>
      <c r="R13" s="152"/>
      <c r="S13" s="152"/>
      <c r="T13" s="29" t="s">
        <v>183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79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>J13</f>
        <v>243.4477003637104</v>
      </c>
      <c r="K15" s="129">
        <f t="shared" ref="K15:S15" si="1">K13</f>
        <v>252.21103472744821</v>
      </c>
      <c r="L15" s="129">
        <f t="shared" si="1"/>
        <v>252.10740800605635</v>
      </c>
      <c r="M15" s="129">
        <f t="shared" si="1"/>
        <v>255.38388251908367</v>
      </c>
      <c r="N15" s="129">
        <f t="shared" si="1"/>
        <v>258.47459679417227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172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75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>
        <v>1.9040751885973997</v>
      </c>
      <c r="K19" s="164">
        <v>1.9981032195254735</v>
      </c>
      <c r="L19" s="164">
        <v>2.0526217838193017</v>
      </c>
      <c r="M19" s="164">
        <v>2.0977861146717847</v>
      </c>
      <c r="N19" s="164">
        <v>2.1370606424913468</v>
      </c>
      <c r="O19" s="152"/>
      <c r="P19" s="152"/>
      <c r="Q19" s="152"/>
      <c r="R19" s="152"/>
      <c r="S19" s="152"/>
      <c r="T19" s="29" t="s">
        <v>195</v>
      </c>
      <c r="U19" s="29"/>
      <c r="V19" s="29"/>
      <c r="W19" s="29"/>
    </row>
    <row r="20" spans="1:23">
      <c r="A20" s="29"/>
      <c r="B20" s="29"/>
      <c r="C20" s="61"/>
      <c r="D20" s="30" t="s">
        <v>75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75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75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75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75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75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75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75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170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1.9040751885973997</v>
      </c>
      <c r="K29" s="129">
        <f t="shared" ref="K29:S29" si="4">SUM(K19:K27)</f>
        <v>1.9981032195254735</v>
      </c>
      <c r="L29" s="129">
        <f t="shared" si="4"/>
        <v>2.0526217838193017</v>
      </c>
      <c r="M29" s="129">
        <f t="shared" si="4"/>
        <v>2.0977861146717847</v>
      </c>
      <c r="N29" s="129">
        <f t="shared" si="4"/>
        <v>2.1370606424913468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80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82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79</v>
      </c>
      <c r="D37" s="30" t="s">
        <v>81</v>
      </c>
      <c r="E37" s="216" t="str">
        <f>$E$56</f>
        <v>$millions</v>
      </c>
      <c r="F37" s="217" t="s">
        <v>107</v>
      </c>
      <c r="G37" s="32"/>
      <c r="H37" s="32"/>
      <c r="I37" s="30"/>
      <c r="J37" s="164">
        <v>214.41588964999653</v>
      </c>
      <c r="K37" s="164">
        <v>250.7103106256981</v>
      </c>
      <c r="L37" s="164">
        <v>251.21574444000004</v>
      </c>
      <c r="M37" s="164">
        <v>264.44393527756796</v>
      </c>
      <c r="N37" s="164"/>
      <c r="O37" s="152"/>
      <c r="P37" s="152"/>
      <c r="Q37" s="152"/>
      <c r="R37" s="152"/>
      <c r="S37" s="152"/>
      <c r="T37" s="29" t="s">
        <v>184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202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196</v>
      </c>
      <c r="D41" s="30" t="s">
        <v>81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>
        <v>-2.2118897820257875</v>
      </c>
      <c r="K41" s="164">
        <v>-2.3547025169396028</v>
      </c>
      <c r="L41" s="164">
        <v>-1.0231850786193002</v>
      </c>
      <c r="M41" s="164">
        <v>6.1862317599999983</v>
      </c>
      <c r="N41" s="164"/>
      <c r="O41" s="152"/>
      <c r="P41" s="152"/>
      <c r="Q41" s="152"/>
      <c r="R41" s="152"/>
      <c r="S41" s="152"/>
      <c r="T41" s="29" t="s">
        <v>201</v>
      </c>
      <c r="U41" s="29"/>
      <c r="V41" s="29"/>
      <c r="W41" s="29"/>
    </row>
    <row r="42" spans="1:23">
      <c r="A42" s="29"/>
      <c r="B42" s="29"/>
      <c r="C42" s="61" t="s">
        <v>197</v>
      </c>
      <c r="D42" s="30" t="s">
        <v>81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>
        <v>0</v>
      </c>
      <c r="K42" s="164">
        <v>0</v>
      </c>
      <c r="L42" s="164">
        <v>0</v>
      </c>
      <c r="M42" s="164">
        <v>0</v>
      </c>
      <c r="N42" s="164"/>
      <c r="O42" s="152"/>
      <c r="P42" s="152"/>
      <c r="Q42" s="152"/>
      <c r="R42" s="152"/>
      <c r="S42" s="152"/>
      <c r="T42" s="29" t="s">
        <v>217</v>
      </c>
      <c r="U42" s="29"/>
      <c r="V42" s="29"/>
      <c r="W42" s="29"/>
    </row>
    <row r="43" spans="1:23">
      <c r="A43" s="29"/>
      <c r="B43" s="29"/>
      <c r="C43" s="61"/>
      <c r="D43" s="30" t="s">
        <v>81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81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81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198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216.62777943202232</v>
      </c>
      <c r="K47" s="129">
        <f t="shared" ref="K47:S47" si="7">K37-SUM(K41:K45)</f>
        <v>253.0650131426377</v>
      </c>
      <c r="L47" s="129">
        <f t="shared" si="7"/>
        <v>252.23892951861933</v>
      </c>
      <c r="M47" s="129">
        <f t="shared" si="7"/>
        <v>258.25770351756796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120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81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195</v>
      </c>
      <c r="U51" s="29"/>
      <c r="V51" s="29"/>
      <c r="W51" s="29"/>
    </row>
    <row r="52" spans="1:23">
      <c r="A52" s="29"/>
      <c r="B52" s="29"/>
      <c r="C52" s="61"/>
      <c r="D52" s="30" t="s">
        <v>81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81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81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170</v>
      </c>
      <c r="D56" s="140" t="s">
        <v>30</v>
      </c>
      <c r="E56" s="130" t="s">
        <v>15</v>
      </c>
      <c r="F56" s="162" t="s">
        <v>107</v>
      </c>
      <c r="G56" s="32"/>
      <c r="H56" s="32"/>
      <c r="I56" s="30"/>
      <c r="J56" s="187">
        <f>SUM(J51:J54)</f>
        <v>0</v>
      </c>
      <c r="K56" s="187">
        <f t="shared" ref="K56:S56" si="9">SUM(K51:K54)</f>
        <v>0</v>
      </c>
      <c r="L56" s="187">
        <f t="shared" si="9"/>
        <v>0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121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122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123</v>
      </c>
      <c r="D62" s="30" t="s">
        <v>34</v>
      </c>
      <c r="E62" s="30" t="str">
        <f>$E$56</f>
        <v>$millions</v>
      </c>
      <c r="F62" s="172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9" t="s">
        <v>200</v>
      </c>
      <c r="U62" s="142"/>
      <c r="V62" s="142"/>
      <c r="W62" s="29"/>
    </row>
    <row r="63" spans="1:23">
      <c r="A63" s="29"/>
      <c r="B63" s="29"/>
      <c r="C63" s="61" t="s">
        <v>124</v>
      </c>
      <c r="D63" s="30" t="s">
        <v>34</v>
      </c>
      <c r="E63" s="30" t="str">
        <f t="shared" ref="E63:E68" si="11">$E$56</f>
        <v>$millions</v>
      </c>
      <c r="F63" s="172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125</v>
      </c>
      <c r="D64" s="30" t="s">
        <v>34</v>
      </c>
      <c r="E64" s="30" t="str">
        <f t="shared" si="11"/>
        <v>$millions</v>
      </c>
      <c r="F64" s="172">
        <v>42522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126</v>
      </c>
      <c r="D65" s="30" t="s">
        <v>34</v>
      </c>
      <c r="E65" s="30" t="str">
        <f t="shared" si="11"/>
        <v>$millions</v>
      </c>
      <c r="F65" s="172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127</v>
      </c>
      <c r="D66" s="30" t="s">
        <v>34</v>
      </c>
      <c r="E66" s="30" t="str">
        <f t="shared" si="11"/>
        <v>$millions</v>
      </c>
      <c r="F66" s="172">
        <v>42522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199</v>
      </c>
      <c r="D68" s="30" t="s">
        <v>34</v>
      </c>
      <c r="E68" s="30" t="str">
        <f t="shared" si="11"/>
        <v>$millions</v>
      </c>
      <c r="F68" s="172">
        <v>42522</v>
      </c>
      <c r="G68" s="32"/>
      <c r="H68" s="32"/>
      <c r="I68" s="32"/>
      <c r="J68" s="164"/>
      <c r="K68" s="164"/>
      <c r="L68" s="164"/>
      <c r="M68" s="164"/>
      <c r="N68" s="164">
        <v>0</v>
      </c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95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>
        <v>0</v>
      </c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80" priority="31" operator="equal">
      <formula>"Check"</formula>
    </cfRule>
    <cfRule type="cellIs" dxfId="179" priority="32" operator="equal">
      <formula>"Ok"</formula>
    </cfRule>
  </conditionalFormatting>
  <conditionalFormatting sqref="W56">
    <cfRule type="cellIs" dxfId="178" priority="29" operator="equal">
      <formula>"Check"</formula>
    </cfRule>
    <cfRule type="cellIs" dxfId="177" priority="30" operator="equal">
      <formula>"Ok"</formula>
    </cfRule>
  </conditionalFormatting>
  <conditionalFormatting sqref="W15">
    <cfRule type="cellIs" dxfId="176" priority="27" operator="equal">
      <formula>"Check"</formula>
    </cfRule>
    <cfRule type="cellIs" dxfId="175" priority="28" operator="equal">
      <formula>"Ok"</formula>
    </cfRule>
  </conditionalFormatting>
  <conditionalFormatting sqref="V1">
    <cfRule type="cellIs" dxfId="174" priority="25" operator="equal">
      <formula>"Check"</formula>
    </cfRule>
    <cfRule type="cellIs" dxfId="173" priority="26" operator="equal">
      <formula>"Ok"</formula>
    </cfRule>
  </conditionalFormatting>
  <conditionalFormatting sqref="S1">
    <cfRule type="cellIs" dxfId="172" priority="23" operator="equal">
      <formula>"Check"</formula>
    </cfRule>
    <cfRule type="cellIs" dxfId="171" priority="24" operator="equal">
      <formula>"Ok"</formula>
    </cfRule>
  </conditionalFormatting>
  <conditionalFormatting sqref="J15:S15">
    <cfRule type="cellIs" dxfId="170" priority="22" operator="equal">
      <formula>0</formula>
    </cfRule>
  </conditionalFormatting>
  <conditionalFormatting sqref="J56:S56">
    <cfRule type="cellIs" dxfId="169" priority="21" operator="equal">
      <formula>0</formula>
    </cfRule>
  </conditionalFormatting>
  <conditionalFormatting sqref="W48:W50">
    <cfRule type="cellIs" dxfId="168" priority="19" operator="equal">
      <formula>"Check"</formula>
    </cfRule>
    <cfRule type="cellIs" dxfId="167" priority="20" operator="equal">
      <formula>"Ok"</formula>
    </cfRule>
  </conditionalFormatting>
  <conditionalFormatting sqref="N37:S37 J33:S33 J51:S54 J41:S45">
    <cfRule type="expression" dxfId="166" priority="17">
      <formula>J$34=J$4</formula>
    </cfRule>
  </conditionalFormatting>
  <conditionalFormatting sqref="J13:S13 J19:S27">
    <cfRule type="expression" dxfId="165" priority="16">
      <formula>J$10=J$4</formula>
    </cfRule>
  </conditionalFormatting>
  <conditionalFormatting sqref="J37:N37">
    <cfRule type="expression" dxfId="164" priority="13">
      <formula>J$10=J$4</formula>
    </cfRule>
  </conditionalFormatting>
  <conditionalFormatting sqref="W47">
    <cfRule type="cellIs" dxfId="163" priority="11" operator="equal">
      <formula>"Check"</formula>
    </cfRule>
    <cfRule type="cellIs" dxfId="162" priority="12" operator="equal">
      <formula>"Ok"</formula>
    </cfRule>
  </conditionalFormatting>
  <conditionalFormatting sqref="J47:S47">
    <cfRule type="cellIs" dxfId="161" priority="9" operator="equal">
      <formula>0</formula>
    </cfRule>
  </conditionalFormatting>
  <conditionalFormatting sqref="J62:S66 J68:S68 J70:S70">
    <cfRule type="expression" dxfId="160" priority="8">
      <formula>J$60=J$4</formula>
    </cfRule>
  </conditionalFormatting>
  <conditionalFormatting sqref="W29">
    <cfRule type="cellIs" dxfId="159" priority="4" operator="equal">
      <formula>"Check"</formula>
    </cfRule>
    <cfRule type="cellIs" dxfId="158" priority="5" operator="equal">
      <formula>"Ok"</formula>
    </cfRule>
  </conditionalFormatting>
  <conditionalFormatting sqref="J29:S29">
    <cfRule type="cellIs" dxfId="157" priority="3" operator="equal">
      <formula>0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5"/>
  <sheetViews>
    <sheetView showGridLines="0" topLeftCell="A63" zoomScaleNormal="100" workbookViewId="0">
      <selection activeCell="M87" sqref="M87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88</v>
      </c>
      <c r="T1" s="76" t="str">
        <f>IF(COUNTIF(W5:W108,"Check")=0,"Ok","Check")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132</v>
      </c>
      <c r="K3" s="224"/>
      <c r="L3" s="224"/>
      <c r="M3" s="224"/>
      <c r="N3" s="183"/>
      <c r="O3" s="224"/>
      <c r="P3" s="224"/>
      <c r="Q3" s="224"/>
      <c r="R3" s="224"/>
      <c r="S3" s="224"/>
      <c r="T3" s="224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105</v>
      </c>
      <c r="E12" s="30" t="str">
        <f>percent</f>
        <v>Per cent</v>
      </c>
      <c r="J12" s="143">
        <f>IF(J10=J4,LOOKUP(EOMONTH(J4,0),'Input|Inflation'!$C$9:$C$64,'Input|Inflation'!$G$9:$G$64),"")</f>
        <v>1.5108593012275628E-2</v>
      </c>
      <c r="K12" s="143">
        <f>IF(K10=K4,LOOKUP(EOMONTH(K4,0),'Input|Inflation'!$C$9:$C$64,'Input|Inflation'!$G$9:$G$64),"")</f>
        <v>1.0232558139534831E-2</v>
      </c>
      <c r="L12" s="143">
        <f>IF(L10=L4,LOOKUP(EOMONTH(L4,0),'Input|Inflation'!$C$9:$C$64,'Input|Inflation'!$G$9:$G$64),"")</f>
        <v>1.9337016574585641E-2</v>
      </c>
      <c r="M12" s="143">
        <f>IF(M10=M4,LOOKUP(EOMONTH(M4,0),'Input|Inflation'!$C$9:$C$64,'Input|Inflation'!$G$9:$G$64),"")</f>
        <v>2.0776874435411097E-2</v>
      </c>
      <c r="N12" s="143">
        <f>IF(N10=N4,LOOKUP(EOMONTH(N4,0),'Input|Inflation'!$C$9:$C$64,'Input|Inflation'!$G$9:$G$64),"")</f>
        <v>1.5929203539823078E-2</v>
      </c>
      <c r="O12" s="143">
        <f>IF(O10=O4,LOOKUP(EOMONTH(O4,0),'Input|Inflation'!$C$9:$C$64,'Input|Inflation'!$G$9:$G$64),"")</f>
        <v>1.4999999999999902E-2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106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1.0839255813953488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1.0729465930018418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1.0525925925925927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1.0311681415929204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1.0149999999999999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0.92257256140471333</v>
      </c>
      <c r="K21" s="22">
        <f t="shared" ref="K21" si="14">IF(AND($C21&gt;K$14,ISNONTEXT($C21)),L21/(1+L$12),IF(AND($C21=K$14,K$14=K$4),1,IF(AND($C21&lt;K$14,K$14=K$4),J21*(1+K$12),0)))</f>
        <v>0.93201283877722663</v>
      </c>
      <c r="L21" s="22">
        <f t="shared" ref="L21" si="15">IF(AND($C21&gt;L$14,ISNONTEXT($C21)),M21/(1+M$12),IF(AND($C21=L$14,L$14=L$4),1,IF(AND($C21&lt;L$14,L$14=L$4),K21*(1+L$12),0)))</f>
        <v>0.95003518648838847</v>
      </c>
      <c r="M21" s="22">
        <f t="shared" ref="M21" si="16">IF(AND($C21&gt;M$14,ISNONTEXT($C21)),N21/(1+N$12),IF(AND($C21=M$14,M$14=M$4),1,IF(AND($C21&lt;M$14,M$14=M$4),L21*(1+M$12),0)))</f>
        <v>0.96977394826728003</v>
      </c>
      <c r="N21" s="22">
        <f t="shared" ref="N21" si="17">IF(AND($C21&gt;N$14,ISNONTEXT($C21)),O21/(1+O$12),IF(AND($C21=N$14,N$14=N$4),1,IF(AND($C21&lt;N$14,N$14=N$4),M21*(1+N$12),0)))</f>
        <v>0.98522167487684742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0.92946610106162908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0.93897691697946872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0.95713392918625417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0.97702018065082863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0.99258333397093046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1.0920831796819239</v>
      </c>
      <c r="K30" s="22">
        <f t="shared" si="27"/>
        <v>1.0784221156975964</v>
      </c>
      <c r="L30" s="22">
        <f t="shared" si="27"/>
        <v>1.0627208645929549</v>
      </c>
      <c r="M30" s="22">
        <f t="shared" si="27"/>
        <v>1.0418252960828787</v>
      </c>
      <c r="N30" s="22">
        <f t="shared" si="27"/>
        <v>1.0230521314756222</v>
      </c>
      <c r="O30" s="22">
        <f t="shared" si="27"/>
        <v>1.0074720839804943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83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86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131</v>
      </c>
      <c r="D36" s="30" t="s">
        <v>108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5.5687486854256729E-3</v>
      </c>
      <c r="Q36" s="168">
        <v>4.4285866134128327E-3</v>
      </c>
      <c r="R36" s="168">
        <v>3.1564423606187386E-3</v>
      </c>
      <c r="S36" s="168">
        <v>2.091759899573109E-3</v>
      </c>
      <c r="T36" s="168">
        <v>3.7453062766037437E-3</v>
      </c>
    </row>
    <row r="37" spans="3:23" ht="11.25" customHeight="1" outlineLevel="1">
      <c r="C37" s="61" t="s">
        <v>214</v>
      </c>
      <c r="D37" s="30" t="s">
        <v>108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1.1126964650614291E-2</v>
      </c>
      <c r="Q37" s="168">
        <v>1.2798280475158852E-2</v>
      </c>
      <c r="R37" s="168">
        <v>1.4425373476583365E-2</v>
      </c>
      <c r="S37" s="168">
        <v>1.5971489126995614E-2</v>
      </c>
      <c r="T37" s="168">
        <v>1.3326371986336899E-2</v>
      </c>
    </row>
    <row r="38" spans="3:23" ht="11.25" customHeight="1" outlineLevel="1">
      <c r="C38" s="61" t="s">
        <v>215</v>
      </c>
      <c r="D38" s="30" t="s">
        <v>108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8.3478566680199821E-3</v>
      </c>
      <c r="Q38" s="60">
        <f t="shared" ref="Q38:T38" si="30">AVERAGE(Q36:Q37)</f>
        <v>8.6134335442858423E-3</v>
      </c>
      <c r="R38" s="60">
        <f t="shared" si="30"/>
        <v>8.7909079186010517E-3</v>
      </c>
      <c r="S38" s="60">
        <f t="shared" si="30"/>
        <v>9.0316245132843614E-3</v>
      </c>
      <c r="T38" s="60">
        <f t="shared" si="30"/>
        <v>8.5358391314703207E-3</v>
      </c>
    </row>
    <row r="39" spans="3:23" ht="11.25" customHeight="1" outlineLevel="1">
      <c r="C39" s="61"/>
      <c r="D39" s="30" t="s">
        <v>108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108</v>
      </c>
      <c r="E40" s="30" t="str">
        <f t="shared" si="29"/>
        <v>Per cent</v>
      </c>
      <c r="J40" s="218"/>
      <c r="K40" s="218"/>
      <c r="L40" s="218"/>
      <c r="M40" s="218"/>
      <c r="N40" s="218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108</v>
      </c>
      <c r="E41" s="30" t="str">
        <f t="shared" si="29"/>
        <v>Per cent</v>
      </c>
      <c r="J41" s="219"/>
      <c r="K41" s="219"/>
      <c r="L41" s="219"/>
      <c r="M41" s="219"/>
      <c r="N41" s="219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108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87</v>
      </c>
      <c r="D43" s="30" t="s">
        <v>108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105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44348</v>
      </c>
      <c r="Q47" s="163">
        <f t="shared" si="32"/>
        <v>44713</v>
      </c>
      <c r="R47" s="163">
        <f t="shared" si="32"/>
        <v>45078</v>
      </c>
      <c r="S47" s="163">
        <f t="shared" si="32"/>
        <v>45444</v>
      </c>
      <c r="T47" s="163">
        <f t="shared" si="32"/>
        <v>45809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108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221">
        <v>0</v>
      </c>
    </row>
    <row r="50" spans="1:50" ht="11.25" customHeight="1" outlineLevel="1">
      <c r="C50" s="148" t="str">
        <f t="shared" si="33"/>
        <v>WPI - BIS</v>
      </c>
      <c r="D50" s="30" t="s">
        <v>108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21">
        <v>0</v>
      </c>
    </row>
    <row r="51" spans="1:50" ht="11.25" customHeight="1" outlineLevel="1">
      <c r="C51" s="148" t="str">
        <f t="shared" si="33"/>
        <v>WPI - average of DAE and BIS</v>
      </c>
      <c r="D51" s="30" t="s">
        <v>108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221">
        <v>0.59699999999999998</v>
      </c>
    </row>
    <row r="52" spans="1:50" ht="11.25" customHeight="1" outlineLevel="1">
      <c r="C52" s="148">
        <f t="shared" si="33"/>
        <v>0</v>
      </c>
      <c r="D52" s="30" t="s">
        <v>108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221"/>
      <c r="U52" s="147"/>
    </row>
    <row r="53" spans="1:50" ht="11.25" customHeight="1" outlineLevel="1">
      <c r="C53" s="148">
        <f t="shared" si="33"/>
        <v>0</v>
      </c>
      <c r="D53" s="30" t="s">
        <v>108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221"/>
    </row>
    <row r="54" spans="1:50" ht="11.25" customHeight="1" outlineLevel="1">
      <c r="C54" s="148">
        <f t="shared" si="33"/>
        <v>0</v>
      </c>
      <c r="D54" s="30" t="s">
        <v>108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221"/>
    </row>
    <row r="55" spans="1:50" ht="11.25" customHeight="1" outlineLevel="1">
      <c r="C55" s="148">
        <f t="shared" si="33"/>
        <v>0</v>
      </c>
      <c r="D55" s="30" t="s">
        <v>108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221"/>
    </row>
    <row r="56" spans="1:50" ht="11.25" customHeight="1" outlineLevel="1">
      <c r="C56" s="148" t="str">
        <f t="shared" si="33"/>
        <v>CPI</v>
      </c>
      <c r="D56" s="30" t="s">
        <v>108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221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105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90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91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43983</v>
      </c>
      <c r="P62" s="163">
        <f t="shared" si="36"/>
        <v>44348</v>
      </c>
      <c r="Q62" s="163">
        <f t="shared" si="36"/>
        <v>44713</v>
      </c>
      <c r="R62" s="163">
        <f t="shared" si="36"/>
        <v>45078</v>
      </c>
      <c r="S62" s="163">
        <f t="shared" si="36"/>
        <v>45444</v>
      </c>
      <c r="T62" s="163">
        <f t="shared" si="36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185</v>
      </c>
      <c r="D64" s="30" t="s">
        <v>108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915493</v>
      </c>
      <c r="P64" s="197">
        <v>926279</v>
      </c>
      <c r="Q64" s="197">
        <v>935431</v>
      </c>
      <c r="R64" s="197">
        <v>942766</v>
      </c>
      <c r="S64" s="197">
        <v>950069</v>
      </c>
      <c r="T64" s="197">
        <v>957324</v>
      </c>
    </row>
    <row r="65" spans="3:23" outlineLevel="1">
      <c r="C65" s="61" t="s">
        <v>186</v>
      </c>
      <c r="D65" s="30" t="s">
        <v>108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89961.93138082762</v>
      </c>
      <c r="P65" s="197">
        <v>90295.301913190546</v>
      </c>
      <c r="Q65" s="197">
        <v>90634.061724816856</v>
      </c>
      <c r="R65" s="197">
        <v>90978.302256038864</v>
      </c>
      <c r="S65" s="197">
        <v>91328.116499692784</v>
      </c>
      <c r="T65" s="197">
        <v>91683.599027477889</v>
      </c>
    </row>
    <row r="66" spans="3:23" outlineLevel="1">
      <c r="C66" s="61" t="s">
        <v>187</v>
      </c>
      <c r="D66" s="30" t="s">
        <v>108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3192.7919959999999</v>
      </c>
      <c r="P66" s="197">
        <v>3192.7919959999999</v>
      </c>
      <c r="Q66" s="197">
        <v>3192.7919959999999</v>
      </c>
      <c r="R66" s="197">
        <v>3192.7919959999999</v>
      </c>
      <c r="S66" s="197">
        <v>3192.7919959999999</v>
      </c>
      <c r="T66" s="197">
        <v>3192.7919959999999</v>
      </c>
    </row>
    <row r="67" spans="3:23" outlineLevel="1">
      <c r="C67" s="61" t="s">
        <v>188</v>
      </c>
      <c r="D67" s="30" t="s">
        <v>108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9693</v>
      </c>
      <c r="P67" s="197">
        <v>9639</v>
      </c>
      <c r="Q67" s="197">
        <v>9664</v>
      </c>
      <c r="R67" s="197">
        <v>9687</v>
      </c>
      <c r="S67" s="197">
        <v>9737</v>
      </c>
      <c r="T67" s="197">
        <v>9819</v>
      </c>
    </row>
    <row r="68" spans="3:23" outlineLevel="1">
      <c r="C68" s="61"/>
      <c r="D68" s="30" t="s">
        <v>108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108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105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94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44348</v>
      </c>
      <c r="Q73" s="163">
        <f t="shared" si="38"/>
        <v>44713</v>
      </c>
      <c r="R73" s="163">
        <f t="shared" si="38"/>
        <v>45078</v>
      </c>
      <c r="S73" s="163">
        <f t="shared" si="38"/>
        <v>45444</v>
      </c>
      <c r="T73" s="163">
        <f t="shared" si="38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105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1.1712767171710325E-2</v>
      </c>
      <c r="Q75" s="117">
        <f t="shared" si="40"/>
        <v>9.8319004829132695E-3</v>
      </c>
      <c r="R75" s="117">
        <f t="shared" si="40"/>
        <v>7.8107219750869206E-3</v>
      </c>
      <c r="S75" s="117">
        <f t="shared" si="40"/>
        <v>7.716505915974281E-3</v>
      </c>
      <c r="T75" s="117">
        <f t="shared" si="40"/>
        <v>7.6072786128715819E-3</v>
      </c>
    </row>
    <row r="76" spans="3:23" outlineLevel="1">
      <c r="C76" s="148" t="str">
        <f t="shared" ref="C76:C80" si="41">C65</f>
        <v>Circuit Length (km)</v>
      </c>
      <c r="D76" s="30" t="s">
        <v>105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3.6988353404918684E-3</v>
      </c>
      <c r="Q76" s="117">
        <f t="shared" si="42"/>
        <v>3.7446680922403885E-3</v>
      </c>
      <c r="R76" s="117">
        <f t="shared" si="42"/>
        <v>3.7909417171810844E-3</v>
      </c>
      <c r="S76" s="117">
        <f t="shared" si="42"/>
        <v>3.8376561326636249E-3</v>
      </c>
      <c r="T76" s="117">
        <f t="shared" si="42"/>
        <v>3.8848111317069112E-3</v>
      </c>
    </row>
    <row r="77" spans="3:23" outlineLevel="1">
      <c r="C77" s="148" t="str">
        <f t="shared" si="41"/>
        <v>Ratcheted Maximum Demand (MW)</v>
      </c>
      <c r="D77" s="30" t="s">
        <v>105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0</v>
      </c>
      <c r="S77" s="117">
        <f t="shared" si="43"/>
        <v>0</v>
      </c>
      <c r="T77" s="117">
        <f t="shared" si="43"/>
        <v>0</v>
      </c>
    </row>
    <row r="78" spans="3:23" outlineLevel="1">
      <c r="C78" s="148" t="str">
        <f t="shared" si="41"/>
        <v>Energy throughput (GWh)</v>
      </c>
      <c r="D78" s="30" t="s">
        <v>105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-5.586606708639863E-3</v>
      </c>
      <c r="Q78" s="117">
        <f t="shared" si="44"/>
        <v>2.5902723906270353E-3</v>
      </c>
      <c r="R78" s="117">
        <f t="shared" si="44"/>
        <v>2.3771392517897283E-3</v>
      </c>
      <c r="S78" s="117">
        <f t="shared" si="44"/>
        <v>5.1482815523709036E-3</v>
      </c>
      <c r="T78" s="117">
        <f t="shared" si="44"/>
        <v>8.3862221905341983E-3</v>
      </c>
    </row>
    <row r="79" spans="3:23" outlineLevel="1">
      <c r="C79" s="148">
        <f t="shared" si="41"/>
        <v>0</v>
      </c>
      <c r="D79" s="30" t="s">
        <v>105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105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189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190</v>
      </c>
      <c r="K82" s="212" t="s">
        <v>191</v>
      </c>
      <c r="L82" s="212" t="s">
        <v>192</v>
      </c>
      <c r="M82" s="212" t="s">
        <v>222</v>
      </c>
      <c r="N82" s="212" t="s">
        <v>193</v>
      </c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108</v>
      </c>
      <c r="E84" s="30" t="s">
        <v>18</v>
      </c>
      <c r="F84" s="30" t="s">
        <v>36</v>
      </c>
      <c r="G84" s="32"/>
      <c r="H84" s="32"/>
      <c r="J84" s="60">
        <v>0.67426626969835601</v>
      </c>
      <c r="K84" s="60">
        <v>0.68954669070377317</v>
      </c>
      <c r="L84" s="60">
        <v>0.52946794843946854</v>
      </c>
      <c r="M84" s="60">
        <v>0.69510543080049092</v>
      </c>
      <c r="N84" s="60">
        <v>0.31</v>
      </c>
      <c r="O84" s="194"/>
      <c r="P84" s="194"/>
      <c r="Q84" s="194"/>
      <c r="R84" s="194"/>
      <c r="S84" s="194"/>
      <c r="T84" s="194"/>
    </row>
    <row r="85" spans="3:23" outlineLevel="1">
      <c r="C85" s="148" t="str">
        <f t="shared" ref="C85:C89" si="47">C65</f>
        <v>Circuit Length (km)</v>
      </c>
      <c r="D85" s="30" t="s">
        <v>108</v>
      </c>
      <c r="E85" s="30" t="s">
        <v>18</v>
      </c>
      <c r="F85" s="30" t="s">
        <v>36</v>
      </c>
      <c r="G85" s="32"/>
      <c r="H85" s="32"/>
      <c r="J85" s="60">
        <v>0.15076654061665548</v>
      </c>
      <c r="K85" s="60">
        <v>0.15563011634747104</v>
      </c>
      <c r="L85" s="60">
        <v>0.15740443076337474</v>
      </c>
      <c r="M85" s="60">
        <v>0.14841388058955493</v>
      </c>
      <c r="N85" s="60">
        <v>0.28999999999999998</v>
      </c>
      <c r="O85" s="194"/>
      <c r="P85" s="194"/>
      <c r="Q85" s="194"/>
      <c r="R85" s="194"/>
      <c r="S85" s="194"/>
      <c r="T85" s="194"/>
    </row>
    <row r="86" spans="3:23" outlineLevel="1">
      <c r="C86" s="148" t="str">
        <f t="shared" si="47"/>
        <v>Ratcheted Maximum Demand (MW)</v>
      </c>
      <c r="D86" s="30" t="s">
        <v>108</v>
      </c>
      <c r="E86" s="30" t="s">
        <v>18</v>
      </c>
      <c r="F86" s="30" t="s">
        <v>36</v>
      </c>
      <c r="G86" s="32"/>
      <c r="H86" s="32"/>
      <c r="J86" s="60">
        <v>0.17496718968498851</v>
      </c>
      <c r="K86" s="60">
        <v>0.15482319294875582</v>
      </c>
      <c r="L86" s="60">
        <v>0.31312762079715678</v>
      </c>
      <c r="M86" s="60">
        <v>0.15648068860995415</v>
      </c>
      <c r="N86" s="60">
        <v>0.28000000000000003</v>
      </c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47"/>
        <v>Energy throughput (GWh)</v>
      </c>
      <c r="D87" s="30" t="s">
        <v>108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/>
      <c r="N87" s="60">
        <v>0.12</v>
      </c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108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61"/>
      <c r="O88" s="194"/>
      <c r="P88" s="194"/>
      <c r="Q88" s="194"/>
      <c r="R88" s="194"/>
      <c r="S88" s="194"/>
      <c r="T88" s="194"/>
    </row>
    <row r="89" spans="3:23" outlineLevel="1">
      <c r="C89" s="148">
        <f t="shared" si="47"/>
        <v>0</v>
      </c>
      <c r="D89" s="30" t="s">
        <v>108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61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105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>Ok</v>
      </c>
      <c r="O91" s="132" t="str">
        <f t="array" ref="O91">IF(ISBLANK(O84:O89),"",IF(SUM(O84:O89)=1,"Ok","Check"))</f>
        <v/>
      </c>
      <c r="P91" s="132"/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194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9">TRANSPOSE(J82:N82)</f>
        <v>SFA CD</v>
      </c>
      <c r="D95" s="30" t="s">
        <v>105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8.455184437311072E-3</v>
      </c>
      <c r="Q95" s="117">
        <f t="shared" si="49"/>
        <v>7.1938895166840499E-3</v>
      </c>
      <c r="R95" s="117">
        <f t="shared" si="49"/>
        <v>5.8380535381715891E-3</v>
      </c>
      <c r="S95" s="117">
        <f t="shared" si="49"/>
        <v>5.7815697982672616E-3</v>
      </c>
      <c r="T95" s="117">
        <f>IF(T$93=T$4,SUMPRODUCT(T$75:T$80,$J$84:$J$89),"")</f>
        <v>5.7150309081335313E-3</v>
      </c>
      <c r="U95" s="24"/>
      <c r="W95" s="132"/>
    </row>
    <row r="96" spans="3:23" outlineLevel="1">
      <c r="C96" s="148" t="str">
        <v>LSE CD</v>
      </c>
      <c r="D96" s="30" t="s">
        <v>105</v>
      </c>
      <c r="E96" s="30" t="s">
        <v>18</v>
      </c>
      <c r="F96" s="30" t="s">
        <v>36</v>
      </c>
      <c r="J96" s="117" t="str">
        <f t="shared" ref="J96:S96" si="50">IF(J$93=J$4,SUMPRODUCT(J$75:J$80,$K$84:$K$89),"")</f>
        <v/>
      </c>
      <c r="K96" s="117" t="str">
        <f t="shared" si="50"/>
        <v/>
      </c>
      <c r="L96" s="117" t="str">
        <f t="shared" si="50"/>
        <v/>
      </c>
      <c r="M96" s="117" t="str">
        <f t="shared" si="50"/>
        <v/>
      </c>
      <c r="N96" s="117" t="str">
        <f t="shared" si="50"/>
        <v/>
      </c>
      <c r="O96" s="117" t="str">
        <f t="shared" si="50"/>
        <v/>
      </c>
      <c r="P96" s="117">
        <f t="shared" si="50"/>
        <v>8.6521500166275352E-3</v>
      </c>
      <c r="Q96" s="117">
        <f t="shared" si="50"/>
        <v>7.3623375721997087E-3</v>
      </c>
      <c r="R96" s="117">
        <f t="shared" si="50"/>
        <v>5.9758421904397988E-3</v>
      </c>
      <c r="S96" s="117">
        <f t="shared" si="50"/>
        <v>5.9181459885841795E-3</v>
      </c>
      <c r="T96" s="117">
        <f>IF(T$93=T$4,SUMPRODUCT(T$75:T$80,$K$84:$K$89),"")</f>
        <v>5.8501674011826868E-3</v>
      </c>
      <c r="U96" s="24"/>
      <c r="W96" s="132"/>
    </row>
    <row r="97" spans="1:50" outlineLevel="1">
      <c r="C97" s="148" t="str">
        <v>LSE TLG</v>
      </c>
      <c r="D97" s="30" t="s">
        <v>105</v>
      </c>
      <c r="E97" s="30" t="s">
        <v>18</v>
      </c>
      <c r="F97" s="30" t="s">
        <v>36</v>
      </c>
      <c r="J97" s="117" t="str">
        <f t="shared" ref="J97:S97" si="51">IF(J$93=J$4,SUMPRODUCT(J$75:J$80,$L$84:$L$89),"")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6.783747876212198E-3</v>
      </c>
      <c r="Q97" s="117">
        <f t="shared" si="51"/>
        <v>5.7951035274059794E-3</v>
      </c>
      <c r="R97" s="117">
        <f t="shared" si="51"/>
        <v>4.7322379630303649E-3</v>
      </c>
      <c r="S97" s="117">
        <f t="shared" si="51"/>
        <v>4.6897066354794166E-3</v>
      </c>
      <c r="T97" s="117">
        <f>IF(T$93=T$4,SUMPRODUCT(T$75:T$80,$L$84:$L$89),"")</f>
        <v>4.6392966851741104E-3</v>
      </c>
      <c r="U97" s="24"/>
      <c r="W97" s="132"/>
    </row>
    <row r="98" spans="1:50" outlineLevel="1">
      <c r="C98" s="148" t="str">
        <v>SFA TLG</v>
      </c>
      <c r="D98" s="30" t="s">
        <v>105</v>
      </c>
      <c r="E98" s="30" t="s">
        <v>18</v>
      </c>
      <c r="F98" s="30" t="s">
        <v>36</v>
      </c>
      <c r="J98" s="117" t="str">
        <f t="shared" ref="J98:O98" si="52">IF(J$93=J$4,SUMPRODUCT(J$75:J$80,$M$84:$M$89),"")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>IF(P$93=P$4,SUMPRODUCT(P$75:P$80,$M$84:$M$89),"")</f>
        <v>8.6905665773017397E-3</v>
      </c>
      <c r="Q98" s="117">
        <f t="shared" ref="Q98:T98" si="53">IF(Q$93=Q$4,SUMPRODUCT(Q$75:Q$80,$M$84:$M$89),"")</f>
        <v>7.3899681438522645E-3</v>
      </c>
      <c r="R98" s="117">
        <f t="shared" si="53"/>
        <v>5.9919036346913306E-3</v>
      </c>
      <c r="S98" s="117">
        <f t="shared" si="53"/>
        <v>5.9333466080147522E-3</v>
      </c>
      <c r="T98" s="117">
        <f t="shared" si="53"/>
        <v>5.8644205728335848E-3</v>
      </c>
      <c r="U98" s="24"/>
      <c r="W98" s="132"/>
    </row>
    <row r="99" spans="1:50" outlineLevel="1">
      <c r="C99" s="148" t="str">
        <v>MPFP</v>
      </c>
      <c r="D99" s="30" t="s">
        <v>105</v>
      </c>
      <c r="E99" s="30" t="s">
        <v>18</v>
      </c>
      <c r="F99" s="30" t="s">
        <v>36</v>
      </c>
      <c r="G99" s="32"/>
      <c r="H99" s="32"/>
      <c r="K99" s="23"/>
      <c r="L99" s="23"/>
      <c r="M99" s="23"/>
      <c r="N99" s="23"/>
      <c r="O99" s="23"/>
      <c r="P99" s="117">
        <f>IF(P$93=P$4,SUMPRODUCT(P$75:P$80,$N$84:$N$89),"")</f>
        <v>4.0332272669360595E-3</v>
      </c>
      <c r="Q99" s="117">
        <f t="shared" ref="Q99:T99" si="54">IF(Q$93=Q$4,SUMPRODUCT(Q$75:Q$80,$N$84:$N$89),"")</f>
        <v>4.4446755833280702E-3</v>
      </c>
      <c r="R99" s="117">
        <f t="shared" si="54"/>
        <v>3.8059536204742271E-3</v>
      </c>
      <c r="S99" s="117">
        <f t="shared" si="54"/>
        <v>4.1228308987089866E-3</v>
      </c>
      <c r="T99" s="117">
        <f t="shared" si="54"/>
        <v>4.4911982610492986E-3</v>
      </c>
    </row>
    <row r="100" spans="1:50" outlineLevel="1">
      <c r="C100" s="30"/>
      <c r="G100" s="32"/>
      <c r="H100" s="32"/>
      <c r="K100" s="23"/>
      <c r="L100" s="23"/>
      <c r="M100" s="23"/>
      <c r="N100" s="23"/>
      <c r="O100" s="23"/>
      <c r="P100" s="117"/>
      <c r="Q100" s="117"/>
      <c r="R100" s="117"/>
      <c r="S100" s="117"/>
      <c r="T100" s="117"/>
    </row>
    <row r="101" spans="1:50" s="103" customFormat="1" ht="12.75">
      <c r="A101" s="94"/>
      <c r="B101" s="95" t="s">
        <v>84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outlineLevel="1">
      <c r="G102" s="32"/>
      <c r="H102" s="32"/>
    </row>
    <row r="103" spans="1:50" outlineLevel="1">
      <c r="C103" s="67" t="s">
        <v>48</v>
      </c>
      <c r="D103" s="32" t="s">
        <v>7</v>
      </c>
      <c r="E103" s="32" t="s">
        <v>8</v>
      </c>
      <c r="F103" s="32" t="s">
        <v>22</v>
      </c>
      <c r="G103" s="32"/>
      <c r="H103" s="32"/>
      <c r="J103" s="163" t="str">
        <f t="shared" ref="J103:T103" si="55">IF(YEAR(J$4)&gt;=FPFirstYear,IF(YEAR(J$4)&lt;=FPLastYear,J$4,""),"")</f>
        <v/>
      </c>
      <c r="K103" s="163" t="str">
        <f t="shared" si="55"/>
        <v/>
      </c>
      <c r="L103" s="163" t="str">
        <f t="shared" si="55"/>
        <v/>
      </c>
      <c r="M103" s="163" t="str">
        <f t="shared" si="55"/>
        <v/>
      </c>
      <c r="N103" s="163" t="str">
        <f t="shared" si="55"/>
        <v/>
      </c>
      <c r="O103" s="163" t="str">
        <f t="shared" si="55"/>
        <v/>
      </c>
      <c r="P103" s="163">
        <f t="shared" si="55"/>
        <v>44348</v>
      </c>
      <c r="Q103" s="163">
        <f t="shared" si="55"/>
        <v>44713</v>
      </c>
      <c r="R103" s="163">
        <f t="shared" si="55"/>
        <v>45078</v>
      </c>
      <c r="S103" s="163">
        <f t="shared" si="55"/>
        <v>45444</v>
      </c>
      <c r="T103" s="163">
        <f t="shared" si="55"/>
        <v>45809</v>
      </c>
    </row>
    <row r="104" spans="1:50" outlineLevel="1">
      <c r="C104" s="111"/>
      <c r="G104" s="32"/>
      <c r="H104" s="32"/>
      <c r="K104" s="23"/>
      <c r="L104" s="23"/>
      <c r="M104" s="23"/>
      <c r="N104" s="23"/>
      <c r="O104" s="23"/>
    </row>
    <row r="105" spans="1:50" outlineLevel="1">
      <c r="C105" s="111" t="s">
        <v>48</v>
      </c>
      <c r="D105" s="30" t="s">
        <v>108</v>
      </c>
      <c r="E105" s="30" t="str">
        <f>percent</f>
        <v>Per cent</v>
      </c>
      <c r="F105" s="30" t="s">
        <v>36</v>
      </c>
      <c r="G105" s="32"/>
      <c r="H105" s="32"/>
      <c r="J105" s="206"/>
      <c r="K105" s="195"/>
      <c r="L105" s="195"/>
      <c r="M105" s="195"/>
      <c r="N105" s="195"/>
      <c r="O105" s="170"/>
      <c r="P105" s="170">
        <v>5.0000000000000001E-3</v>
      </c>
      <c r="Q105" s="170">
        <v>5.0000000000000001E-3</v>
      </c>
      <c r="R105" s="170">
        <v>5.0000000000000001E-3</v>
      </c>
      <c r="S105" s="170">
        <v>5.0000000000000001E-3</v>
      </c>
      <c r="T105" s="170">
        <v>5.0000000000000001E-3</v>
      </c>
    </row>
    <row r="106" spans="1:50" outlineLevel="1">
      <c r="C106" s="111"/>
      <c r="G106" s="32"/>
      <c r="H106" s="32"/>
      <c r="J106" s="169"/>
      <c r="K106" s="23"/>
      <c r="L106" s="23"/>
      <c r="M106" s="23"/>
      <c r="N106" s="23"/>
      <c r="O106" s="23"/>
      <c r="P106" s="193"/>
      <c r="Q106" s="193"/>
      <c r="R106" s="193"/>
      <c r="S106" s="193"/>
      <c r="T106" s="193"/>
    </row>
    <row r="107" spans="1:50" outlineLevel="1">
      <c r="C107" s="29" t="s">
        <v>40</v>
      </c>
      <c r="D107" s="30" t="s">
        <v>105</v>
      </c>
      <c r="E107" s="30" t="s">
        <v>28</v>
      </c>
      <c r="F107" s="30" t="s">
        <v>36</v>
      </c>
      <c r="J107" s="132" t="str">
        <f t="shared" ref="J107:S107" si="56">IF(J103=J$4,IF(ISBLANK(J105),"Check","Ok"),"")</f>
        <v/>
      </c>
      <c r="K107" s="132" t="str">
        <f t="shared" si="56"/>
        <v/>
      </c>
      <c r="L107" s="132" t="str">
        <f t="shared" si="56"/>
        <v/>
      </c>
      <c r="M107" s="132" t="str">
        <f t="shared" si="56"/>
        <v/>
      </c>
      <c r="N107" s="132" t="str">
        <f t="shared" si="56"/>
        <v/>
      </c>
      <c r="O107" s="132" t="str">
        <f t="shared" si="56"/>
        <v/>
      </c>
      <c r="P107" s="132" t="str">
        <f t="shared" si="56"/>
        <v>Ok</v>
      </c>
      <c r="Q107" s="132" t="str">
        <f t="shared" si="56"/>
        <v>Ok</v>
      </c>
      <c r="R107" s="132" t="str">
        <f t="shared" si="56"/>
        <v>Ok</v>
      </c>
      <c r="S107" s="132" t="str">
        <f t="shared" si="56"/>
        <v>Ok</v>
      </c>
      <c r="T107" s="132" t="str">
        <f>IF(T103=T$4,IF(ISBLANK(T105),"Check","Ok"),"")</f>
        <v>Ok</v>
      </c>
      <c r="U107" s="24"/>
      <c r="W107" s="131" t="str">
        <f>IF(COUNTIF(J107:T107,"Check")=0,"Ok","Check")</f>
        <v>Ok</v>
      </c>
    </row>
    <row r="108" spans="1:50" outlineLevel="1">
      <c r="C108" s="111"/>
      <c r="G108" s="32"/>
      <c r="H108" s="32"/>
      <c r="K108" s="23"/>
      <c r="L108" s="23"/>
      <c r="M108" s="23"/>
      <c r="N108" s="23"/>
      <c r="O108" s="23"/>
    </row>
    <row r="109" spans="1:50" s="103" customFormat="1" ht="12.75">
      <c r="A109" s="94"/>
      <c r="B109" s="95" t="s">
        <v>21</v>
      </c>
      <c r="C109" s="94"/>
      <c r="D109" s="94"/>
      <c r="E109" s="94"/>
      <c r="F109" s="96"/>
      <c r="G109" s="96"/>
      <c r="H109" s="96"/>
      <c r="I109" s="96"/>
      <c r="J109" s="96"/>
      <c r="K109" s="97"/>
      <c r="L109" s="98"/>
      <c r="M109" s="97"/>
      <c r="N109" s="98"/>
      <c r="O109" s="97"/>
      <c r="P109" s="97"/>
      <c r="Q109" s="97"/>
      <c r="R109" s="97"/>
      <c r="S109" s="97"/>
      <c r="T109" s="97"/>
      <c r="U109" s="97"/>
      <c r="V109" s="97"/>
      <c r="W109" s="98"/>
      <c r="X109" s="99"/>
      <c r="Y109" s="99"/>
      <c r="Z109" s="99"/>
      <c r="AA109" s="99"/>
      <c r="AB109" s="99"/>
      <c r="AC109" s="99"/>
      <c r="AD109" s="99"/>
      <c r="AE109" s="100"/>
      <c r="AF109" s="101"/>
      <c r="AG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</row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mergeCells count="2">
    <mergeCell ref="K3:M3"/>
    <mergeCell ref="O3:T3"/>
  </mergeCells>
  <conditionalFormatting sqref="W1">
    <cfRule type="cellIs" dxfId="156" priority="116" operator="equal">
      <formula>"Check"</formula>
    </cfRule>
    <cfRule type="cellIs" dxfId="155" priority="117" operator="equal">
      <formula>"Ok"</formula>
    </cfRule>
  </conditionalFormatting>
  <conditionalFormatting sqref="T1">
    <cfRule type="cellIs" dxfId="154" priority="80" operator="equal">
      <formula>"Check"</formula>
    </cfRule>
    <cfRule type="cellIs" dxfId="153" priority="81" operator="equal">
      <formula>"Ok"</formula>
    </cfRule>
  </conditionalFormatting>
  <conditionalFormatting sqref="W58">
    <cfRule type="cellIs" dxfId="152" priority="68" operator="equal">
      <formula>"Check"</formula>
    </cfRule>
    <cfRule type="cellIs" dxfId="151" priority="69" operator="equal">
      <formula>"Ok"</formula>
    </cfRule>
  </conditionalFormatting>
  <conditionalFormatting sqref="J58:T58">
    <cfRule type="cellIs" dxfId="150" priority="60" operator="equal">
      <formula>"Check"</formula>
    </cfRule>
    <cfRule type="cellIs" dxfId="149" priority="61" operator="equal">
      <formula>"Ok"</formula>
    </cfRule>
  </conditionalFormatting>
  <conditionalFormatting sqref="J34:T34">
    <cfRule type="expression" dxfId="148" priority="51">
      <formula>J$34=J$4</formula>
    </cfRule>
  </conditionalFormatting>
  <conditionalFormatting sqref="J36:T43">
    <cfRule type="expression" dxfId="147" priority="49">
      <formula>J$34=J$4</formula>
    </cfRule>
  </conditionalFormatting>
  <conditionalFormatting sqref="J49:T56">
    <cfRule type="expression" dxfId="146" priority="48">
      <formula>J$47=J$4</formula>
    </cfRule>
  </conditionalFormatting>
  <conditionalFormatting sqref="W107">
    <cfRule type="cellIs" dxfId="145" priority="42" operator="equal">
      <formula>"Check"</formula>
    </cfRule>
    <cfRule type="cellIs" dxfId="144" priority="43" operator="equal">
      <formula>"Ok"</formula>
    </cfRule>
  </conditionalFormatting>
  <conditionalFormatting sqref="J107:T107">
    <cfRule type="cellIs" dxfId="143" priority="40" operator="equal">
      <formula>"Check"</formula>
    </cfRule>
    <cfRule type="cellIs" dxfId="142" priority="41" operator="equal">
      <formula>"Ok"</formula>
    </cfRule>
  </conditionalFormatting>
  <conditionalFormatting sqref="W45">
    <cfRule type="cellIs" dxfId="141" priority="38" operator="equal">
      <formula>"Check"</formula>
    </cfRule>
    <cfRule type="cellIs" dxfId="140" priority="39" operator="equal">
      <formula>"Ok"</formula>
    </cfRule>
  </conditionalFormatting>
  <conditionalFormatting sqref="J45:T45">
    <cfRule type="cellIs" dxfId="139" priority="36" operator="equal">
      <formula>"Check"</formula>
    </cfRule>
    <cfRule type="cellIs" dxfId="138" priority="37" operator="equal">
      <formula>"Ok"</formula>
    </cfRule>
  </conditionalFormatting>
  <conditionalFormatting sqref="W71">
    <cfRule type="cellIs" dxfId="137" priority="34" operator="equal">
      <formula>"Check"</formula>
    </cfRule>
    <cfRule type="cellIs" dxfId="136" priority="35" operator="equal">
      <formula>"Ok"</formula>
    </cfRule>
  </conditionalFormatting>
  <conditionalFormatting sqref="J71:T71">
    <cfRule type="cellIs" dxfId="135" priority="32" operator="equal">
      <formula>"Check"</formula>
    </cfRule>
    <cfRule type="cellIs" dxfId="134" priority="33" operator="equal">
      <formula>"Ok"</formula>
    </cfRule>
  </conditionalFormatting>
  <conditionalFormatting sqref="J62:T62">
    <cfRule type="expression" dxfId="133" priority="26">
      <formula>J$62=J$4</formula>
    </cfRule>
  </conditionalFormatting>
  <conditionalFormatting sqref="J64:T69">
    <cfRule type="expression" dxfId="132" priority="24">
      <formula>J$62=J$4</formula>
    </cfRule>
  </conditionalFormatting>
  <conditionalFormatting sqref="J47:T47">
    <cfRule type="expression" dxfId="131" priority="21">
      <formula>J$34=J$4</formula>
    </cfRule>
  </conditionalFormatting>
  <conditionalFormatting sqref="J73:T73">
    <cfRule type="expression" dxfId="130" priority="20">
      <formula>J$34=J$4</formula>
    </cfRule>
  </conditionalFormatting>
  <conditionalFormatting sqref="J103:T103">
    <cfRule type="expression" dxfId="129" priority="19">
      <formula>J$34=J$4</formula>
    </cfRule>
  </conditionalFormatting>
  <conditionalFormatting sqref="J25:T30">
    <cfRule type="cellIs" dxfId="128" priority="17" operator="equal">
      <formula>0</formula>
    </cfRule>
  </conditionalFormatting>
  <conditionalFormatting sqref="J16:T21">
    <cfRule type="cellIs" dxfId="127" priority="16" operator="equal">
      <formula>0</formula>
    </cfRule>
  </conditionalFormatting>
  <conditionalFormatting sqref="W91:W98">
    <cfRule type="cellIs" dxfId="126" priority="12" operator="equal">
      <formula>"Check"</formula>
    </cfRule>
    <cfRule type="cellIs" dxfId="125" priority="13" operator="equal">
      <formula>"Ok"</formula>
    </cfRule>
  </conditionalFormatting>
  <conditionalFormatting sqref="K88:M89">
    <cfRule type="expression" dxfId="124" priority="11">
      <formula>K$82=K$4</formula>
    </cfRule>
  </conditionalFormatting>
  <conditionalFormatting sqref="J92:T92 J94:T94 J91:M91 O91:T91">
    <cfRule type="cellIs" dxfId="123" priority="9" operator="equal">
      <formula>"Check"</formula>
    </cfRule>
    <cfRule type="cellIs" dxfId="122" priority="10" operator="equal">
      <formula>"Ok"</formula>
    </cfRule>
  </conditionalFormatting>
  <conditionalFormatting sqref="J93:T93">
    <cfRule type="expression" dxfId="121" priority="8">
      <formula>J$93=J$4</formula>
    </cfRule>
  </conditionalFormatting>
  <conditionalFormatting sqref="J105:T105">
    <cfRule type="expression" dxfId="120" priority="121">
      <formula>J$103=J$4</formula>
    </cfRule>
  </conditionalFormatting>
  <conditionalFormatting sqref="K84:M87">
    <cfRule type="expression" dxfId="119" priority="5">
      <formula>K$82=K$4</formula>
    </cfRule>
  </conditionalFormatting>
  <conditionalFormatting sqref="N88:N89">
    <cfRule type="expression" dxfId="118" priority="4">
      <formula>N$82=N$4</formula>
    </cfRule>
  </conditionalFormatting>
  <conditionalFormatting sqref="N91">
    <cfRule type="cellIs" dxfId="117" priority="2" operator="equal">
      <formula>"Check"</formula>
    </cfRule>
    <cfRule type="cellIs" dxfId="116" priority="3" operator="equal">
      <formula>"Ok"</formula>
    </cfRule>
  </conditionalFormatting>
  <conditionalFormatting sqref="N84:N87">
    <cfRule type="expression" dxfId="115" priority="1">
      <formula>N$82=N$4</formula>
    </cfRule>
  </conditionalFormatting>
  <dataValidations disablePrompts="1" count="2">
    <dataValidation type="list" allowBlank="1" showInputMessage="1" showErrorMessage="1" sqref="F108 F72">
      <formula1>#REF!</formula1>
    </dataValidation>
    <dataValidation type="list" allowBlank="1" showInputMessage="1" showErrorMessage="1" sqref="F83 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P38:T38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3"/>
  <sheetViews>
    <sheetView showGridLines="0" workbookViewId="0">
      <selection activeCell="M36" sqref="M36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88</v>
      </c>
      <c r="S1" s="76" t="str">
        <f>IF(COUNTA($W$8:$W$236)=COUNTIF($W$8:$W$236,"OK"),"OK","Check")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132</v>
      </c>
      <c r="K3" s="173"/>
      <c r="L3" s="173"/>
      <c r="M3" s="183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85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61" t="s">
        <v>208</v>
      </c>
      <c r="D12" s="30" t="s">
        <v>75</v>
      </c>
      <c r="E12" s="150" t="s">
        <v>15</v>
      </c>
      <c r="F12" s="172">
        <v>43983</v>
      </c>
      <c r="G12" s="32"/>
      <c r="H12" s="32"/>
      <c r="J12" s="152"/>
      <c r="K12" s="152"/>
      <c r="L12" s="152"/>
      <c r="M12" s="152"/>
      <c r="N12" s="152"/>
      <c r="O12" s="171">
        <v>0</v>
      </c>
      <c r="P12" s="171">
        <v>0.40110926524552842</v>
      </c>
      <c r="Q12" s="171">
        <v>0.92790671987317064</v>
      </c>
      <c r="R12" s="171">
        <v>1.0852901917951219</v>
      </c>
      <c r="S12" s="171">
        <v>1.3137148142373982</v>
      </c>
      <c r="T12" s="223"/>
    </row>
    <row r="13" spans="1:47" outlineLevel="1">
      <c r="C13" s="61" t="s">
        <v>209</v>
      </c>
      <c r="D13" s="30" t="s">
        <v>75</v>
      </c>
      <c r="E13" s="150" t="s">
        <v>15</v>
      </c>
      <c r="F13" s="172">
        <v>43983</v>
      </c>
      <c r="G13" s="32"/>
      <c r="H13" s="32"/>
      <c r="J13" s="152"/>
      <c r="K13" s="152"/>
      <c r="L13" s="152"/>
      <c r="M13" s="152"/>
      <c r="N13" s="152"/>
      <c r="O13" s="171">
        <v>0.9464786252716737</v>
      </c>
      <c r="P13" s="171">
        <v>1.1774650011228744</v>
      </c>
      <c r="Q13" s="171">
        <v>1.6333986125606377</v>
      </c>
      <c r="R13" s="171">
        <v>1.6831592709506429</v>
      </c>
      <c r="S13" s="171">
        <v>1.740934159081059</v>
      </c>
      <c r="T13" s="223"/>
    </row>
    <row r="14" spans="1:47" outlineLevel="1">
      <c r="C14" s="61" t="s">
        <v>210</v>
      </c>
      <c r="D14" s="30" t="s">
        <v>75</v>
      </c>
      <c r="E14" s="150" t="s">
        <v>15</v>
      </c>
      <c r="F14" s="172">
        <v>43983</v>
      </c>
      <c r="G14" s="32"/>
      <c r="H14" s="32"/>
      <c r="J14" s="152"/>
      <c r="K14" s="152"/>
      <c r="L14" s="152"/>
      <c r="M14" s="152"/>
      <c r="N14" s="152"/>
      <c r="O14" s="171">
        <v>0.74836727235024181</v>
      </c>
      <c r="P14" s="171">
        <v>0.74836727235024181</v>
      </c>
      <c r="Q14" s="171">
        <v>0.74836727235024181</v>
      </c>
      <c r="R14" s="171">
        <v>0.74836727235024181</v>
      </c>
      <c r="S14" s="171">
        <v>0.74836727235024181</v>
      </c>
      <c r="T14" s="223"/>
    </row>
    <row r="15" spans="1:47" outlineLevel="1">
      <c r="C15" s="61" t="s">
        <v>211</v>
      </c>
      <c r="D15" s="30" t="s">
        <v>75</v>
      </c>
      <c r="E15" s="150" t="s">
        <v>15</v>
      </c>
      <c r="F15" s="172">
        <v>43983</v>
      </c>
      <c r="G15" s="32"/>
      <c r="H15" s="32"/>
      <c r="J15" s="152"/>
      <c r="K15" s="152"/>
      <c r="L15" s="152"/>
      <c r="M15" s="152"/>
      <c r="N15" s="152"/>
      <c r="O15" s="171">
        <v>1.8079585462511292</v>
      </c>
      <c r="P15" s="171">
        <v>1.9785996829268291</v>
      </c>
      <c r="Q15" s="171">
        <v>2.0885218875338754</v>
      </c>
      <c r="R15" s="171">
        <v>2.0885218875338754</v>
      </c>
      <c r="S15" s="171">
        <v>2.0885218875338754</v>
      </c>
      <c r="T15" s="223"/>
    </row>
    <row r="16" spans="1:47" outlineLevel="1">
      <c r="C16" s="61" t="s">
        <v>212</v>
      </c>
      <c r="D16" s="30" t="s">
        <v>75</v>
      </c>
      <c r="E16" s="150" t="s">
        <v>15</v>
      </c>
      <c r="F16" s="172">
        <v>43983</v>
      </c>
      <c r="G16" s="32"/>
      <c r="H16" s="32"/>
      <c r="J16" s="152"/>
      <c r="K16" s="152"/>
      <c r="L16" s="152"/>
      <c r="M16" s="152"/>
      <c r="N16" s="152"/>
      <c r="O16" s="171">
        <v>11.253249556788578</v>
      </c>
      <c r="P16" s="171">
        <v>11.253249556788578</v>
      </c>
      <c r="Q16" s="171">
        <v>11.253249556788578</v>
      </c>
      <c r="R16" s="171">
        <v>11.253249556788578</v>
      </c>
      <c r="S16" s="171">
        <v>11.253249556788578</v>
      </c>
      <c r="T16" s="223"/>
    </row>
    <row r="17" spans="1:47" outlineLevel="1">
      <c r="C17" s="61" t="s">
        <v>213</v>
      </c>
      <c r="D17" s="30" t="s">
        <v>75</v>
      </c>
      <c r="E17" s="150" t="s">
        <v>15</v>
      </c>
      <c r="F17" s="172">
        <v>43983</v>
      </c>
      <c r="G17" s="32"/>
      <c r="H17" s="32"/>
      <c r="J17" s="152"/>
      <c r="K17" s="152"/>
      <c r="L17" s="152"/>
      <c r="M17" s="152"/>
      <c r="N17" s="152"/>
      <c r="O17" s="171">
        <v>-2.5662250437721248</v>
      </c>
      <c r="P17" s="171">
        <f>O17</f>
        <v>-2.5662250437721248</v>
      </c>
      <c r="Q17" s="171">
        <f t="shared" ref="Q17:S17" si="1">P17</f>
        <v>-2.5662250437721248</v>
      </c>
      <c r="R17" s="171">
        <f t="shared" si="1"/>
        <v>-2.5662250437721248</v>
      </c>
      <c r="S17" s="171">
        <f t="shared" si="1"/>
        <v>-2.5662250437721248</v>
      </c>
      <c r="T17" s="223"/>
    </row>
    <row r="18" spans="1:47" outlineLevel="1">
      <c r="C18" s="61" t="s">
        <v>218</v>
      </c>
      <c r="D18" s="30" t="s">
        <v>75</v>
      </c>
      <c r="E18" s="150" t="s">
        <v>15</v>
      </c>
      <c r="F18" s="172">
        <v>43983</v>
      </c>
      <c r="G18" s="32"/>
      <c r="H18" s="32"/>
      <c r="J18" s="152"/>
      <c r="K18" s="152"/>
      <c r="L18" s="152"/>
      <c r="M18" s="152"/>
      <c r="N18" s="152"/>
      <c r="O18" s="171">
        <v>0.62131979999999976</v>
      </c>
      <c r="P18" s="171">
        <v>0.55287113880000005</v>
      </c>
      <c r="Q18" s="171">
        <v>0.48603786600432031</v>
      </c>
      <c r="R18" s="171">
        <v>0.42078185844661853</v>
      </c>
      <c r="S18" s="171">
        <v>0.35706589266727828</v>
      </c>
      <c r="T18" s="223"/>
    </row>
    <row r="19" spans="1:47" outlineLevel="1">
      <c r="C19" s="61" t="s">
        <v>220</v>
      </c>
      <c r="D19" s="30" t="s">
        <v>75</v>
      </c>
      <c r="E19" s="150" t="s">
        <v>15</v>
      </c>
      <c r="F19" s="172">
        <v>43983</v>
      </c>
      <c r="G19" s="32"/>
      <c r="H19" s="32"/>
      <c r="J19" s="152"/>
      <c r="K19" s="152"/>
      <c r="L19" s="152"/>
      <c r="M19" s="152"/>
      <c r="N19" s="152"/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223"/>
    </row>
    <row r="20" spans="1:47" outlineLevel="1">
      <c r="C20" s="61" t="s">
        <v>221</v>
      </c>
      <c r="D20" s="30" t="s">
        <v>75</v>
      </c>
      <c r="E20" s="150" t="s">
        <v>15</v>
      </c>
      <c r="F20" s="172">
        <v>43983</v>
      </c>
      <c r="G20" s="32"/>
      <c r="H20" s="32"/>
      <c r="J20" s="152"/>
      <c r="K20" s="152"/>
      <c r="L20" s="152"/>
      <c r="M20" s="152"/>
      <c r="N20" s="152"/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223"/>
    </row>
    <row r="21" spans="1:47" outlineLevel="1">
      <c r="C21" s="61" t="s">
        <v>219</v>
      </c>
      <c r="D21" s="30" t="s">
        <v>75</v>
      </c>
      <c r="E21" s="150" t="s">
        <v>15</v>
      </c>
      <c r="F21" s="172">
        <v>43983</v>
      </c>
      <c r="G21" s="32"/>
      <c r="H21" s="32"/>
      <c r="J21" s="152"/>
      <c r="K21" s="152"/>
      <c r="L21" s="152"/>
      <c r="M21" s="152"/>
      <c r="N21" s="152"/>
      <c r="O21" s="171">
        <v>-0.11292141042000001</v>
      </c>
      <c r="P21" s="171">
        <v>-0.43210751038</v>
      </c>
      <c r="Q21" s="171">
        <v>-0.31395466739</v>
      </c>
      <c r="R21" s="171">
        <v>-0.22342145007</v>
      </c>
      <c r="S21" s="171">
        <v>-0.21643013938000003</v>
      </c>
      <c r="T21" s="223"/>
    </row>
    <row r="22" spans="1:47" outlineLevel="1">
      <c r="G22" s="32"/>
      <c r="H22" s="32"/>
    </row>
    <row r="23" spans="1:47" outlineLevel="1">
      <c r="C23" s="29" t="s">
        <v>40</v>
      </c>
      <c r="D23" s="30" t="s">
        <v>105</v>
      </c>
      <c r="E23" s="30" t="s">
        <v>28</v>
      </c>
      <c r="F23" s="30" t="s">
        <v>36</v>
      </c>
      <c r="J23" s="132" t="str">
        <f t="shared" ref="J23:S23" si="2">IF(J10=J4,IF(COUNTA($C12:$C21)=COUNT(J12:J21),"Ok","Check"),"")</f>
        <v/>
      </c>
      <c r="K23" s="132" t="str">
        <f t="shared" si="2"/>
        <v/>
      </c>
      <c r="L23" s="132" t="str">
        <f t="shared" si="2"/>
        <v/>
      </c>
      <c r="M23" s="132" t="str">
        <f t="shared" si="2"/>
        <v/>
      </c>
      <c r="N23" s="132" t="str">
        <f t="shared" si="2"/>
        <v/>
      </c>
      <c r="O23" s="132" t="str">
        <f t="shared" si="2"/>
        <v>Ok</v>
      </c>
      <c r="P23" s="132" t="str">
        <f t="shared" si="2"/>
        <v>Ok</v>
      </c>
      <c r="Q23" s="132" t="str">
        <f t="shared" si="2"/>
        <v>Ok</v>
      </c>
      <c r="R23" s="132" t="str">
        <f t="shared" si="2"/>
        <v>Ok</v>
      </c>
      <c r="S23" s="132" t="str">
        <f t="shared" si="2"/>
        <v>Ok</v>
      </c>
      <c r="T23" s="132"/>
      <c r="U23" s="24"/>
      <c r="W23" s="131" t="str">
        <f>IF(COUNTIF(J23:T23,"Check")=0,"Ok","Check")</f>
        <v>Ok</v>
      </c>
    </row>
    <row r="24" spans="1:47">
      <c r="G24" s="32"/>
      <c r="H24" s="32"/>
    </row>
    <row r="25" spans="1:47" s="103" customFormat="1" ht="12.75">
      <c r="A25" s="94"/>
      <c r="B25" s="95" t="s">
        <v>128</v>
      </c>
      <c r="C25" s="94"/>
      <c r="D25" s="94"/>
      <c r="E25" s="94"/>
      <c r="F25" s="96"/>
      <c r="G25" s="96"/>
      <c r="H25" s="96"/>
      <c r="I25" s="96"/>
      <c r="J25" s="97"/>
      <c r="K25" s="98"/>
      <c r="L25" s="97"/>
      <c r="M25" s="98"/>
      <c r="N25" s="97"/>
      <c r="O25" s="97"/>
      <c r="P25" s="97"/>
      <c r="Q25" s="97"/>
      <c r="R25" s="97"/>
      <c r="S25" s="97"/>
      <c r="T25" s="97"/>
      <c r="U25" s="97"/>
      <c r="V25" s="98"/>
      <c r="W25" s="98"/>
      <c r="X25" s="99"/>
      <c r="Y25" s="99"/>
      <c r="Z25" s="99"/>
      <c r="AA25" s="99"/>
      <c r="AB25" s="100"/>
      <c r="AC25" s="101"/>
      <c r="AD25" s="101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</row>
    <row r="26" spans="1:47" outlineLevel="1">
      <c r="G26" s="32"/>
      <c r="H26" s="32"/>
    </row>
    <row r="27" spans="1:47" outlineLevel="1">
      <c r="C27" s="67" t="s">
        <v>119</v>
      </c>
      <c r="D27" s="32" t="s">
        <v>7</v>
      </c>
      <c r="E27" s="32" t="s">
        <v>8</v>
      </c>
      <c r="F27" s="32" t="s">
        <v>22</v>
      </c>
      <c r="G27" s="32"/>
      <c r="H27" s="32"/>
      <c r="J27" s="163" t="str">
        <f t="shared" ref="J27:S27" si="3">IF(YEAR(J$4)&gt;=FPFirstYear,IF(YEAR(J$4)&lt;=FPLastYear,J$4,""),"")</f>
        <v/>
      </c>
      <c r="K27" s="163" t="str">
        <f t="shared" si="3"/>
        <v/>
      </c>
      <c r="L27" s="163" t="str">
        <f t="shared" si="3"/>
        <v/>
      </c>
      <c r="M27" s="163" t="str">
        <f t="shared" si="3"/>
        <v/>
      </c>
      <c r="N27" s="163" t="str">
        <f t="shared" si="3"/>
        <v/>
      </c>
      <c r="O27" s="163">
        <f t="shared" si="3"/>
        <v>44348</v>
      </c>
      <c r="P27" s="163">
        <f t="shared" si="3"/>
        <v>44713</v>
      </c>
      <c r="Q27" s="163">
        <f t="shared" si="3"/>
        <v>45078</v>
      </c>
      <c r="R27" s="163">
        <f t="shared" si="3"/>
        <v>45444</v>
      </c>
      <c r="S27" s="163">
        <f t="shared" si="3"/>
        <v>45809</v>
      </c>
    </row>
    <row r="28" spans="1:47" outlineLevel="1">
      <c r="G28" s="32"/>
      <c r="H28" s="32"/>
    </row>
    <row r="29" spans="1:47" outlineLevel="1">
      <c r="C29" s="61"/>
      <c r="D29" s="30" t="s">
        <v>75</v>
      </c>
      <c r="E29" s="150" t="s">
        <v>15</v>
      </c>
      <c r="F29" s="172">
        <v>43983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75</v>
      </c>
      <c r="E30" s="150" t="s">
        <v>15</v>
      </c>
      <c r="F30" s="172">
        <v>43983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C31" s="61"/>
      <c r="D31" s="30" t="s">
        <v>75</v>
      </c>
      <c r="E31" s="150" t="s">
        <v>15</v>
      </c>
      <c r="F31" s="172">
        <v>43983</v>
      </c>
      <c r="G31" s="32"/>
      <c r="H31" s="32"/>
      <c r="J31" s="152"/>
      <c r="K31" s="152"/>
      <c r="L31" s="152"/>
      <c r="M31" s="152"/>
      <c r="N31" s="171"/>
      <c r="O31" s="171"/>
      <c r="P31" s="171"/>
      <c r="Q31" s="171"/>
      <c r="R31" s="171"/>
      <c r="S31" s="171"/>
    </row>
    <row r="32" spans="1:47" outlineLevel="1">
      <c r="G32" s="32"/>
      <c r="H32" s="32"/>
    </row>
    <row r="33" spans="1:47" outlineLevel="1">
      <c r="C33" s="29" t="s">
        <v>40</v>
      </c>
      <c r="D33" s="30" t="s">
        <v>105</v>
      </c>
      <c r="E33" s="30" t="s">
        <v>28</v>
      </c>
      <c r="F33" s="30" t="s">
        <v>36</v>
      </c>
      <c r="J33" s="132" t="str">
        <f t="shared" ref="J33:R33" si="4">IF(J27=J4,IF(COUNTA($C29:$C31)=COUNT(J29:J31),"Ok","Check"),"")</f>
        <v/>
      </c>
      <c r="K33" s="132" t="str">
        <f t="shared" si="4"/>
        <v/>
      </c>
      <c r="L33" s="132" t="str">
        <f t="shared" si="4"/>
        <v/>
      </c>
      <c r="M33" s="132" t="str">
        <f t="shared" si="4"/>
        <v/>
      </c>
      <c r="N33" s="132" t="str">
        <f t="shared" si="4"/>
        <v/>
      </c>
      <c r="O33" s="132" t="str">
        <f t="shared" si="4"/>
        <v>Ok</v>
      </c>
      <c r="P33" s="132" t="str">
        <f t="shared" si="4"/>
        <v>Ok</v>
      </c>
      <c r="Q33" s="132" t="str">
        <f t="shared" si="4"/>
        <v>Ok</v>
      </c>
      <c r="R33" s="132" t="str">
        <f t="shared" si="4"/>
        <v>Ok</v>
      </c>
      <c r="S33" s="132" t="str">
        <f>IF(S27=S4,IF(COUNTA($C29:$C31)=COUNT(S29:S31),"Ok","Check"),"")</f>
        <v>Ok</v>
      </c>
      <c r="T33" s="132"/>
      <c r="U33" s="24"/>
      <c r="W33" s="131" t="str">
        <f>IF(COUNTIF(J33:T33,"Check")=0,"Ok","Check")</f>
        <v>Ok</v>
      </c>
    </row>
    <row r="34" spans="1:47">
      <c r="G34" s="32"/>
      <c r="H34" s="32"/>
    </row>
    <row r="35" spans="1:47" s="103" customFormat="1" ht="12.75">
      <c r="A35" s="94"/>
      <c r="B35" s="95" t="s">
        <v>44</v>
      </c>
      <c r="C35" s="94"/>
      <c r="D35" s="94"/>
      <c r="E35" s="94"/>
      <c r="F35" s="96"/>
      <c r="G35" s="96"/>
      <c r="H35" s="96"/>
      <c r="I35" s="96"/>
      <c r="J35" s="97"/>
      <c r="K35" s="98"/>
      <c r="L35" s="97"/>
      <c r="M35" s="98"/>
      <c r="N35" s="97"/>
      <c r="O35" s="97"/>
      <c r="P35" s="97"/>
      <c r="Q35" s="97"/>
      <c r="R35" s="97"/>
      <c r="S35" s="97"/>
      <c r="T35" s="97"/>
      <c r="U35" s="97"/>
      <c r="V35" s="98"/>
      <c r="W35" s="98"/>
      <c r="X35" s="99"/>
      <c r="Y35" s="99"/>
      <c r="Z35" s="99"/>
      <c r="AA35" s="99"/>
      <c r="AB35" s="100"/>
      <c r="AC35" s="101"/>
      <c r="AD35" s="101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</row>
    <row r="36" spans="1:47" outlineLevel="1">
      <c r="G36" s="32"/>
      <c r="H36" s="32"/>
    </row>
    <row r="37" spans="1:47" outlineLevel="1">
      <c r="C37" s="67" t="s">
        <v>32</v>
      </c>
      <c r="D37" s="32" t="s">
        <v>7</v>
      </c>
      <c r="E37" s="32" t="s">
        <v>8</v>
      </c>
      <c r="F37" s="32" t="s">
        <v>22</v>
      </c>
      <c r="G37" s="32"/>
      <c r="H37" s="32"/>
      <c r="J37" s="163" t="str">
        <f t="shared" ref="J37:S37" si="5">IF(YEAR(J$4)&gt;=FPFirstYear,IF(YEAR(J$4)&lt;=FPLastYear,J$4,""),"")</f>
        <v/>
      </c>
      <c r="K37" s="163" t="str">
        <f t="shared" si="5"/>
        <v/>
      </c>
      <c r="L37" s="163" t="str">
        <f t="shared" si="5"/>
        <v/>
      </c>
      <c r="M37" s="163" t="str">
        <f t="shared" si="5"/>
        <v/>
      </c>
      <c r="N37" s="163" t="str">
        <f t="shared" si="5"/>
        <v/>
      </c>
      <c r="O37" s="163">
        <f t="shared" si="5"/>
        <v>44348</v>
      </c>
      <c r="P37" s="163">
        <f t="shared" si="5"/>
        <v>44713</v>
      </c>
      <c r="Q37" s="163">
        <f t="shared" si="5"/>
        <v>45078</v>
      </c>
      <c r="R37" s="163">
        <f t="shared" si="5"/>
        <v>45444</v>
      </c>
      <c r="S37" s="163">
        <f t="shared" si="5"/>
        <v>45809</v>
      </c>
    </row>
    <row r="38" spans="1:47" outlineLevel="1">
      <c r="G38" s="32"/>
      <c r="H38" s="32"/>
    </row>
    <row r="39" spans="1:47" outlineLevel="1">
      <c r="C39" s="111" t="s">
        <v>39</v>
      </c>
      <c r="D39" s="30" t="s">
        <v>78</v>
      </c>
      <c r="E39" s="30" t="s">
        <v>15</v>
      </c>
      <c r="F39" s="211">
        <f>DATE(PPLastYear,MONTH('Input|General'!$G$9),1)</f>
        <v>43983</v>
      </c>
      <c r="G39" s="32"/>
      <c r="H39" s="32"/>
      <c r="J39" s="171"/>
      <c r="K39" s="171"/>
      <c r="L39" s="171"/>
      <c r="M39" s="171"/>
      <c r="N39" s="171"/>
      <c r="O39" s="171">
        <v>2.0890128984839804</v>
      </c>
      <c r="P39" s="171">
        <v>2.0975580410956849</v>
      </c>
      <c r="Q39" s="171">
        <v>2.1041168493872089</v>
      </c>
      <c r="R39" s="171">
        <v>2.0968741260193879</v>
      </c>
      <c r="S39" s="171">
        <v>2.08762416641544</v>
      </c>
    </row>
    <row r="40" spans="1:47" outlineLevel="1">
      <c r="G40" s="32"/>
      <c r="H40" s="32"/>
    </row>
    <row r="41" spans="1:47" outlineLevel="1">
      <c r="C41" s="29" t="s">
        <v>40</v>
      </c>
      <c r="D41" s="30" t="s">
        <v>105</v>
      </c>
      <c r="E41" s="30" t="s">
        <v>28</v>
      </c>
      <c r="F41" s="30" t="s">
        <v>36</v>
      </c>
      <c r="J41" s="132" t="str">
        <f t="shared" ref="J41:R41" si="6">IF(J37=J4,IF(ISBLANK(J39),"Check","Ok"),"")</f>
        <v/>
      </c>
      <c r="K41" s="132" t="str">
        <f t="shared" si="6"/>
        <v/>
      </c>
      <c r="L41" s="132" t="str">
        <f t="shared" si="6"/>
        <v/>
      </c>
      <c r="M41" s="132" t="str">
        <f t="shared" si="6"/>
        <v/>
      </c>
      <c r="N41" s="132" t="str">
        <f t="shared" si="6"/>
        <v/>
      </c>
      <c r="O41" s="132" t="str">
        <f t="shared" si="6"/>
        <v>Ok</v>
      </c>
      <c r="P41" s="132" t="str">
        <f t="shared" si="6"/>
        <v>Ok</v>
      </c>
      <c r="Q41" s="132" t="str">
        <f t="shared" si="6"/>
        <v>Ok</v>
      </c>
      <c r="R41" s="132" t="str">
        <f t="shared" si="6"/>
        <v>Ok</v>
      </c>
      <c r="S41" s="132" t="str">
        <f>IF(S37=S4,IF(ISBLANK(S39),"Check","Ok"),"")</f>
        <v>Ok</v>
      </c>
      <c r="T41" s="132"/>
      <c r="U41" s="24"/>
      <c r="W41" s="131" t="str">
        <f>IF(COUNTIF(J41:T41,"Check")=0,"Ok","Check")</f>
        <v>Ok</v>
      </c>
    </row>
    <row r="42" spans="1:47">
      <c r="G42" s="32"/>
      <c r="H42" s="32"/>
    </row>
    <row r="43" spans="1:47" s="103" customFormat="1" ht="12.75">
      <c r="A43" s="94"/>
      <c r="B43" s="95" t="s">
        <v>21</v>
      </c>
      <c r="C43" s="94"/>
      <c r="D43" s="94"/>
      <c r="E43" s="94"/>
      <c r="F43" s="96"/>
      <c r="G43" s="96"/>
      <c r="H43" s="96"/>
      <c r="I43" s="96"/>
      <c r="J43" s="97"/>
      <c r="K43" s="98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9"/>
      <c r="Y43" s="99"/>
      <c r="Z43" s="99"/>
      <c r="AA43" s="99"/>
      <c r="AB43" s="100"/>
      <c r="AC43" s="101"/>
      <c r="AD43" s="101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1">
    <cfRule type="expression" dxfId="109" priority="23">
      <formula>J$10=J$4</formula>
    </cfRule>
  </conditionalFormatting>
  <conditionalFormatting sqref="W23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3:T23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3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3:T33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9:M31 O30:S31">
    <cfRule type="expression" dxfId="100" priority="12">
      <formula>J$27=J$4</formula>
    </cfRule>
  </conditionalFormatting>
  <conditionalFormatting sqref="W41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1:T41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9:S29">
    <cfRule type="expression" dxfId="95" priority="7">
      <formula>O$10=O$4</formula>
    </cfRule>
  </conditionalFormatting>
  <conditionalFormatting sqref="N29:N31">
    <cfRule type="expression" dxfId="94" priority="6">
      <formula>N$10=N$4</formula>
    </cfRule>
  </conditionalFormatting>
  <conditionalFormatting sqref="J39:S39">
    <cfRule type="expression" dxfId="93" priority="3">
      <formula>J$37=J$4</formula>
    </cfRule>
  </conditionalFormatting>
  <conditionalFormatting sqref="J27:S27">
    <cfRule type="expression" dxfId="92" priority="2">
      <formula>J$10=J$4</formula>
    </cfRule>
  </conditionalFormatting>
  <conditionalFormatting sqref="J37:S37">
    <cfRule type="expression" dxfId="91" priority="1">
      <formula>J$10=J$4</formula>
    </cfRule>
  </conditionalFormatting>
  <dataValidations count="2">
    <dataValidation type="list" allowBlank="1" showInputMessage="1" showErrorMessage="1" sqref="F24 F32 F34 F42">
      <formula1>"Real 2010,Real 2011,Real 2012,Real 2013,Real 2014,Real 2015,Nominal"</formula1>
    </dataValidation>
    <dataValidation type="list" allowBlank="1" showInputMessage="1" showErrorMessage="1" sqref="U29:U32 I39 U24 I24 U12:U22 I29:I32 U34 I34 U42 I42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O20:S20 P17:S1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E39 E29:E31 E12:E22</xm:sqref>
        </x14:dataValidation>
        <x14:dataValidation type="list" allowBlank="1" showInputMessage="1" showErrorMessage="1">
          <x14:formula1>
            <xm:f>'Lookup|Tables'!$C$66:$C$74</xm:f>
          </x14:formula1>
          <xm:sqref>F22</xm:sqref>
        </x14:dataValidation>
        <x14:dataValidation type="list" allowBlank="1" showInputMessage="1" showErrorMessage="1">
          <x14:formula1>
            <xm:f>'Lookup|Tables'!$H$41:$H$60</xm:f>
          </x14:formula1>
          <xm:sqref>F39 F29:F31 F12:F21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>
      <selection activeCell="N102" sqref="N102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88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132</v>
      </c>
      <c r="K3" s="173"/>
      <c r="L3" s="173"/>
      <c r="M3" s="183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92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173</v>
      </c>
      <c r="D12" s="108" t="s">
        <v>98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258.25770351756796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173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change_final'!K$25:K$30),INDEX('Input|Rate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  <c r="K13" s="109">
        <f>K12*IF($F12="nominal",LOOKUP($F13,Nominal_to_Real,'Input|Rate of change_final'!L$25:L$30),INDEX('Input|Rate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  <c r="L13" s="109">
        <f>L12*IF($F12="nominal",LOOKUP($F13,Nominal_to_Real,'Input|Rate of change_final'!M$25:M$30),INDEX('Input|Rate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  <c r="M13" s="109">
        <f>M12*IF($F12="nominal",LOOKUP($F13,Nominal_to_Real,'Input|Rate of change_final'!N$25:N$30),INDEX('Input|Rate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264.21109405364723</v>
      </c>
      <c r="N13" s="109">
        <f>N12*IF($F12="nominal",LOOKUP($F13,Nominal_to_Real,'Input|Rate of change_final'!O$25:O$30),INDEX('Input|Rate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  <c r="O13" s="109">
        <f>O12*IF($F12="nominal",LOOKUP($F13,Nominal_to_Real,'Input|Rate of change_final'!P$25:P$30),INDEX('Input|Rate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  <c r="P13" s="109">
        <f>P12*IF($F12="nominal",LOOKUP($F13,Nominal_to_Real,'Input|Rate of change_final'!Q$25:Q$30),INDEX('Input|Rate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  <c r="Q13" s="109">
        <f>Q12*IF($F12="nominal",LOOKUP($F13,Nominal_to_Real,'Input|Rate of change_final'!R$25:R$30),INDEX('Input|Rate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  <c r="R13" s="109">
        <f>R12*IF($F12="nominal",LOOKUP($F13,Nominal_to_Real,'Input|Rate of change_final'!S$25:S$30),INDEX('Input|Rate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  <c r="S13" s="109">
        <f>S12*IF($F12="nominal",LOOKUP($F13,Nominal_to_Real,'Input|Rate of change_final'!T$25:T$30),INDEX('Input|Rate of change_final'!$C$14:$O$21,MATCH('Calc|Opex forecast_final'!$F12,'Input|Rate of change_final'!$C$14:$C$21,0),MATCH('Calc|Opex forecast_final'!$F13,'Input|Rate of change_final'!$C$14:$O$14,0)))*IF($E12="$millions",1000000,IF($E12="$000",1000,1))/IF($E13="$millions",1000000,IF($E13="$000",1000,1))</f>
        <v>0</v>
      </c>
    </row>
    <row r="14" spans="1:47" outlineLevel="1">
      <c r="C14" s="111" t="s">
        <v>174</v>
      </c>
      <c r="D14" s="108" t="s">
        <v>98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255.38388251908367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174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change_final'!K$25:K$30),INDEX('Input|Rate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  <c r="K15" s="109">
        <f>K14*IF($F14="nominal",LOOKUP($F15,Nominal_to_Real,'Input|Rate of change_final'!L$25:L$30),INDEX('Input|Rate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  <c r="L15" s="109">
        <f>L14*IF($F14="nominal",LOOKUP($F15,Nominal_to_Real,'Input|Rate of change_final'!M$25:M$30),INDEX('Input|Rate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  <c r="M15" s="109">
        <f>M14*IF($F14="nominal",LOOKUP($F15,Nominal_to_Real,'Input|Rate of change_final'!N$25:N$30),INDEX('Input|Rate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276.81712333849924</v>
      </c>
      <c r="N15" s="109">
        <f>N14*IF($F14="nominal",LOOKUP($F15,Nominal_to_Real,'Input|Rate of change_final'!O$25:O$30),INDEX('Input|Rate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  <c r="O15" s="109">
        <f>O14*IF($F14="nominal",LOOKUP($F15,Nominal_to_Real,'Input|Rate of change_final'!P$25:P$30),INDEX('Input|Rate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  <c r="P15" s="109">
        <f>P14*IF($F14="nominal",LOOKUP($F15,Nominal_to_Real,'Input|Rate of change_final'!Q$25:Q$30),INDEX('Input|Rate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  <c r="Q15" s="109">
        <f>Q14*IF($F14="nominal",LOOKUP($F15,Nominal_to_Real,'Input|Rate of change_final'!R$25:R$30),INDEX('Input|Rate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  <c r="R15" s="109">
        <f>R14*IF($F14="nominal",LOOKUP($F15,Nominal_to_Real,'Input|Rate of change_final'!S$25:S$30),INDEX('Input|Rate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  <c r="S15" s="109">
        <f>S14*IF($F14="nominal",LOOKUP($F15,Nominal_to_Real,'Input|Rate of change_final'!T$25:T$30),INDEX('Input|Rate of change_final'!$C$14:$O$21,MATCH('Calc|Opex forecast_final'!$F14,'Input|Rate of change_final'!$C$14:$C$21,0),MATCH('Calc|Opex forecast_final'!$F15,'Input|Rate of change_final'!$C$14:$O$14,0)))*IF($E14="$millions",1000000,IF($E14="$000",1000,1))/IF($E15="$millions",1000000,IF($E15="$000",1000,1))</f>
        <v>0</v>
      </c>
    </row>
    <row r="16" spans="1:47" outlineLevel="1">
      <c r="C16" s="111" t="s">
        <v>175</v>
      </c>
      <c r="D16" s="108" t="s">
        <v>98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258.47459679417227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175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change_final'!K$25:K$30),INDEX('Input|Rate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  <c r="K17" s="109">
        <f>K16*IF($F16="nominal",LOOKUP($F17,Nominal_to_Real,'Input|Rate of change_final'!L$25:L$30),INDEX('Input|Rate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  <c r="L17" s="109">
        <f>L16*IF($F16="nominal",LOOKUP($F17,Nominal_to_Real,'Input|Rate of change_final'!M$25:M$30),INDEX('Input|Rate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  <c r="M17" s="109">
        <f>M16*IF($F16="nominal",LOOKUP($F17,Nominal_to_Real,'Input|Rate of change_final'!N$25:N$30),INDEX('Input|Rate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  <c r="N17" s="109">
        <f>N16*IF($F16="nominal",LOOKUP($F17,Nominal_to_Real,'Input|Rate of change_final'!O$25:O$30),INDEX('Input|Rate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280.16722760605154</v>
      </c>
      <c r="O17" s="109">
        <f>O16*IF($F16="nominal",LOOKUP($F17,Nominal_to_Real,'Input|Rate of change_final'!P$25:P$30),INDEX('Input|Rate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  <c r="P17" s="109">
        <f>P16*IF($F16="nominal",LOOKUP($F17,Nominal_to_Real,'Input|Rate of change_final'!Q$25:Q$30),INDEX('Input|Rate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  <c r="Q17" s="109">
        <f>Q16*IF($F16="nominal",LOOKUP($F17,Nominal_to_Real,'Input|Rate of change_final'!R$25:R$30),INDEX('Input|Rate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  <c r="R17" s="109">
        <f>R16*IF($F16="nominal",LOOKUP($F17,Nominal_to_Real,'Input|Rate of change_final'!S$25:S$30),INDEX('Input|Rate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  <c r="S17" s="109">
        <f>S16*IF($F16="nominal",LOOKUP($F17,Nominal_to_Real,'Input|Rate of change_final'!T$25:T$30),INDEX('Input|Rate of change_final'!$C$14:$O$21,MATCH('Calc|Opex forecast_final'!$F16,'Input|Rate of change_final'!$C$14:$C$21,0),MATCH('Calc|Opex forecast_final'!$F17,'Input|Rate of change_final'!$C$14:$O$14,0)))*IF($E16="$millions",1000000,IF($E16="$000",1000,1))/IF($E17="$millions",1000000,IF($E17="$000",1000,1))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176</v>
      </c>
      <c r="D19" s="108" t="s">
        <v>98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176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change_final'!K$25:K$30),INDEX('Input|Rate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K20" s="109">
        <f>K19*IF($F19="nominal",LOOKUP($F20,Nominal_to_Real,'Input|Rate of change_final'!L$25:L$30),INDEX('Input|Rate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L20" s="109">
        <f>L19*IF($F19="nominal",LOOKUP($F20,Nominal_to_Real,'Input|Rate of change_final'!M$25:M$30),INDEX('Input|Rate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M20" s="109">
        <f>M19*IF($F19="nominal",LOOKUP($F20,Nominal_to_Real,'Input|Rate of change_final'!N$25:N$30),INDEX('Input|Rate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N20" s="109">
        <f>N19*IF($F19="nominal",LOOKUP($F20,Nominal_to_Real,'Input|Rate of change_final'!O$25:O$30),INDEX('Input|Rate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O20" s="109">
        <f>O19*IF($F19="nominal",LOOKUP($F20,Nominal_to_Real,'Input|Rate of change_final'!P$25:P$30),INDEX('Input|Rate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P20" s="109">
        <f>P19*IF($F19="nominal",LOOKUP($F20,Nominal_to_Real,'Input|Rate of change_final'!Q$25:Q$30),INDEX('Input|Rate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Q20" s="109">
        <f>Q19*IF($F19="nominal",LOOKUP($F20,Nominal_to_Real,'Input|Rate of change_final'!R$25:R$30),INDEX('Input|Rate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R20" s="109">
        <f>R19*IF($F19="nominal",LOOKUP($F20,Nominal_to_Real,'Input|Rate of change_final'!S$25:S$30),INDEX('Input|Rate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  <c r="S20" s="109">
        <f>S19*IF($F19="nominal",LOOKUP($F20,Nominal_to_Real,'Input|Rate of change_final'!T$25:T$30),INDEX('Input|Rate of change_final'!$C$14:$O$21,MATCH('Calc|Opex forecast_final'!$F19,'Input|Rate of change_final'!$C$14:$C$21,0),MATCH('Calc|Opex forecast_final'!$F20,'Input|Rate of change_final'!$C$14:$O$14,0)))*IF($E19="$millions",1000000,IF($E19="$000",1000,1))/IF($E20="$millions",1000000,IF($E20="$000",1000,1))</f>
        <v>0</v>
      </c>
    </row>
    <row r="21" spans="3:19" outlineLevel="1">
      <c r="C21" s="111" t="s">
        <v>177</v>
      </c>
      <c r="D21" s="108" t="s">
        <v>98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2.0977861146717847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177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change_final'!K$25:K$30),INDEX('Input|Rate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  <c r="K22" s="109">
        <f>K21*IF($F21="nominal",LOOKUP($F22,Nominal_to_Real,'Input|Rate of change_final'!L$25:L$30),INDEX('Input|Rate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  <c r="L22" s="109">
        <f>L21*IF($F21="nominal",LOOKUP($F22,Nominal_to_Real,'Input|Rate of change_final'!M$25:M$30),INDEX('Input|Rate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  <c r="M22" s="109">
        <f>M21*IF($F21="nominal",LOOKUP($F22,Nominal_to_Real,'Input|Rate of change_final'!N$25:N$30),INDEX('Input|Rate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2.2738440339887038</v>
      </c>
      <c r="N22" s="109">
        <f>N21*IF($F21="nominal",LOOKUP($F22,Nominal_to_Real,'Input|Rate of change_final'!O$25:O$30),INDEX('Input|Rate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  <c r="O22" s="109">
        <f>O21*IF($F21="nominal",LOOKUP($F22,Nominal_to_Real,'Input|Rate of change_final'!P$25:P$30),INDEX('Input|Rate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  <c r="P22" s="109">
        <f>P21*IF($F21="nominal",LOOKUP($F22,Nominal_to_Real,'Input|Rate of change_final'!Q$25:Q$30),INDEX('Input|Rate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  <c r="Q22" s="109">
        <f>Q21*IF($F21="nominal",LOOKUP($F22,Nominal_to_Real,'Input|Rate of change_final'!R$25:R$30),INDEX('Input|Rate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  <c r="R22" s="109">
        <f>R21*IF($F21="nominal",LOOKUP($F22,Nominal_to_Real,'Input|Rate of change_final'!S$25:S$30),INDEX('Input|Rate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  <c r="S22" s="109">
        <f>S21*IF($F21="nominal",LOOKUP($F22,Nominal_to_Real,'Input|Rate of change_final'!T$25:T$30),INDEX('Input|Rate of change_final'!$C$14:$O$21,MATCH('Calc|Opex forecast_final'!$F21,'Input|Rate of change_final'!$C$14:$C$21,0),MATCH('Calc|Opex forecast_final'!$F22,'Input|Rate of change_final'!$C$14:$O$14,0)))*IF($E21="$millions",1000000,IF($E21="$000",1000,1))/IF($E22="$millions",1000000,IF($E22="$000",1000,1))</f>
        <v>0</v>
      </c>
    </row>
    <row r="23" spans="3:19" outlineLevel="1">
      <c r="C23" s="111" t="s">
        <v>178</v>
      </c>
      <c r="D23" s="108" t="s">
        <v>98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2.1370606424913468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178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change_final'!K$25:K$30),INDEX('Input|Rate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  <c r="K24" s="109">
        <f>K23*IF($F23="nominal",LOOKUP($F24,Nominal_to_Real,'Input|Rate of change_final'!L$25:L$30),INDEX('Input|Rate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  <c r="L24" s="109">
        <f>L23*IF($F23="nominal",LOOKUP($F24,Nominal_to_Real,'Input|Rate of change_final'!M$25:M$30),INDEX('Input|Rate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  <c r="M24" s="109">
        <f>M23*IF($F23="nominal",LOOKUP($F24,Nominal_to_Real,'Input|Rate of change_final'!N$25:N$30),INDEX('Input|Rate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  <c r="N24" s="109">
        <f>N23*IF($F23="nominal",LOOKUP($F24,Nominal_to_Real,'Input|Rate of change_final'!O$25:O$30),INDEX('Input|Rate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2.3164146993895507</v>
      </c>
      <c r="O24" s="109">
        <f>O23*IF($F23="nominal",LOOKUP($F24,Nominal_to_Real,'Input|Rate of change_final'!P$25:P$30),INDEX('Input|Rate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  <c r="P24" s="109">
        <f>P23*IF($F23="nominal",LOOKUP($F24,Nominal_to_Real,'Input|Rate of change_final'!Q$25:Q$30),INDEX('Input|Rate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  <c r="Q24" s="109">
        <f>Q23*IF($F23="nominal",LOOKUP($F24,Nominal_to_Real,'Input|Rate of change_final'!R$25:R$30),INDEX('Input|Rate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  <c r="R24" s="109">
        <f>R23*IF($F23="nominal",LOOKUP($F24,Nominal_to_Real,'Input|Rate of change_final'!S$25:S$30),INDEX('Input|Rate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  <c r="S24" s="109">
        <f>S23*IF($F23="nominal",LOOKUP($F24,Nominal_to_Real,'Input|Rate of change_final'!T$25:T$30),INDEX('Input|Rate of change_final'!$C$14:$O$21,MATCH('Calc|Opex forecast_final'!$F23,'Input|Rate of change_final'!$C$14:$C$21,0),MATCH('Calc|Opex forecast_final'!$F24,'Input|Rate of change_final'!$C$14:$O$14,0)))*IF($E23="$millions",1000000,IF($E23="$000",1000,1))/IF($E24="$millions",1000000,IF($E24="$000",1000,1))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149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264.21109405364723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171</v>
      </c>
      <c r="D28" s="108" t="s">
        <v>98</v>
      </c>
      <c r="E28" s="110" t="str">
        <f>'Input|Reported opex'!E68</f>
        <v>$millions</v>
      </c>
      <c r="F28" s="161">
        <f>'Input|Reported opex'!F68</f>
        <v>42522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change_final'!K$25:K$30),INDEX('Input|Rate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K29" s="115">
        <f>K28*IF($F28="nominal",LOOKUP($F29,Nominal_to_Real,'Input|Rate of change_final'!L$25:L$30),INDEX('Input|Rate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L29" s="115">
        <f>L28*IF($F28="nominal",LOOKUP($F29,Nominal_to_Real,'Input|Rate of change_final'!M$25:M$30),INDEX('Input|Rate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M29" s="115">
        <f>M28*IF($F28="nominal",LOOKUP($F29,Nominal_to_Real,'Input|Rate of change_final'!N$25:N$30),INDEX('Input|Rate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N29" s="115">
        <f>N28*IF($F28="nominal",LOOKUP($F29,Nominal_to_Real,'Input|Rate of change_final'!O$25:O$30),INDEX('Input|Rate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O29" s="115">
        <f>O28*IF($F28="nominal",LOOKUP($F29,Nominal_to_Real,'Input|Rate of change_final'!P$25:P$30),INDEX('Input|Rate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P29" s="115">
        <f>P28*IF($F28="nominal",LOOKUP($F29,Nominal_to_Real,'Input|Rate of change_final'!Q$25:Q$30),INDEX('Input|Rate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Q29" s="115">
        <f>Q28*IF($F28="nominal",LOOKUP($F29,Nominal_to_Real,'Input|Rate of change_final'!R$25:R$30),INDEX('Input|Rate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R29" s="115">
        <f>R28*IF($F28="nominal",LOOKUP($F29,Nominal_to_Real,'Input|Rate of change_final'!S$25:S$30),INDEX('Input|Rate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  <c r="S29" s="115">
        <f>S28*IF($F28="nominal",LOOKUP($F29,Nominal_to_Real,'Input|Rate of change_final'!T$25:T$30),INDEX('Input|Rate of change_final'!$C$14:$O$21,MATCH('Calc|Opex forecast_final'!$F28,'Input|Rate of change_final'!$C$14:$C$21,0),MATCH('Calc|Opex forecast_final'!$F29,'Input|Rate of change_final'!$C$14:$O$14,0)))*IF($E28="$millions",1000000,IF($E28="$000",1000,1))/IF($E29="$millions",1000000,IF($E29="$000",1000,1))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169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3.3501042675522967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112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267.56119832119953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179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-4.2570665400846863E-2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Adjustment 1</v>
      </c>
      <c r="D37" s="108" t="s">
        <v>98</v>
      </c>
      <c r="E37" s="110" t="str">
        <f>'Input|Reported opex'!E62</f>
        <v>$millions</v>
      </c>
      <c r="F37" s="161">
        <f>'Input|Reported opex'!F62</f>
        <v>43617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change_final'!K$25:K$30),INDEX('Input|Rate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K38" s="115">
        <f>K37*IF($F37="nominal",LOOKUP($F38,Nominal_to_Real,'Input|Rate of change_final'!L$25:L$30),INDEX('Input|Rate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L38" s="115">
        <f>L37*IF($F37="nominal",LOOKUP($F38,Nominal_to_Real,'Input|Rate of change_final'!M$25:M$30),INDEX('Input|Rate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M38" s="115">
        <f>M37*IF($F37="nominal",LOOKUP($F38,Nominal_to_Real,'Input|Rate of change_final'!N$25:N$30),INDEX('Input|Rate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N38" s="153">
        <f>N37*IF($F37="nominal",LOOKUP($F38,Nominal_to_Real,'Input|Rate of change_final'!O$25:O$30),INDEX('Input|Rate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O38" s="115">
        <f>O37*IF($F37="nominal",LOOKUP($F38,Nominal_to_Real,'Input|Rate of change_final'!P$25:P$30),INDEX('Input|Rate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P38" s="115">
        <f>P37*IF($F37="nominal",LOOKUP($F38,Nominal_to_Real,'Input|Rate of change_final'!Q$25:Q$30),INDEX('Input|Rate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Q38" s="115">
        <f>Q37*IF($F37="nominal",LOOKUP($F38,Nominal_to_Real,'Input|Rate of change_final'!R$25:R$30),INDEX('Input|Rate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R38" s="115">
        <f>R37*IF($F37="nominal",LOOKUP($F38,Nominal_to_Real,'Input|Rate of change_final'!S$25:S$30),INDEX('Input|Rate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  <c r="S38" s="115">
        <f>S37*IF($F37="nominal",LOOKUP($F38,Nominal_to_Real,'Input|Rate of change_final'!T$25:T$30),INDEX('Input|Rate of change_final'!$C$14:$O$21,MATCH('Calc|Opex forecast_final'!$F37,'Input|Rate of change_final'!$C$14:$C$21,0),MATCH('Calc|Opex forecast_final'!$F38,'Input|Rate of change_final'!$C$14:$O$14,0)))*IF($E37="$millions",1000000,IF($E37="$000",1000,1))/IF($E38="$millions",1000000,IF($E38="$000",1000,1))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98</v>
      </c>
      <c r="E40" s="30" t="str">
        <f>'Input|Reported opex'!$E$63</f>
        <v>$millions</v>
      </c>
      <c r="F40" s="161">
        <f>'Input|Reported opex'!$F$63</f>
        <v>42522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change_final'!K$25:K$30),INDEX('Input|Rate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K41" s="115">
        <f>K40*IF($F40="nominal",LOOKUP($F41,Nominal_to_Real,'Input|Rate of change_final'!L$25:L$30),INDEX('Input|Rate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L41" s="115">
        <f>L40*IF($F40="nominal",LOOKUP($F41,Nominal_to_Real,'Input|Rate of change_final'!M$25:M$30),INDEX('Input|Rate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M41" s="115">
        <f>M40*IF($F40="nominal",LOOKUP($F41,Nominal_to_Real,'Input|Rate of change_final'!N$25:N$30),INDEX('Input|Rate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N41" s="153">
        <f>N40*IF($F40="nominal",LOOKUP($F41,Nominal_to_Real,'Input|Rate of change_final'!O$25:O$30),INDEX('Input|Rate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O41" s="115">
        <f>O40*IF($F40="nominal",LOOKUP($F41,Nominal_to_Real,'Input|Rate of change_final'!P$25:P$30),INDEX('Input|Rate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P41" s="115">
        <f>P40*IF($F40="nominal",LOOKUP($F41,Nominal_to_Real,'Input|Rate of change_final'!Q$25:Q$30),INDEX('Input|Rate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Q41" s="115">
        <f>Q40*IF($F40="nominal",LOOKUP($F41,Nominal_to_Real,'Input|Rate of change_final'!R$25:R$30),INDEX('Input|Rate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R41" s="115">
        <f>R40*IF($F40="nominal",LOOKUP($F41,Nominal_to_Real,'Input|Rate of change_final'!S$25:S$30),INDEX('Input|Rate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  <c r="S41" s="115">
        <f>S40*IF($F40="nominal",LOOKUP($F41,Nominal_to_Real,'Input|Rate of change_final'!T$25:T$30),INDEX('Input|Rate of change_final'!$C$14:$O$21,MATCH('Calc|Opex forecast_final'!$F40,'Input|Rate of change_final'!$C$14:$C$21,0),MATCH('Calc|Opex forecast_final'!$F41,'Input|Rate of change_final'!$C$14:$O$14,0)))*IF($E40="$millions",1000000,IF($E40="$000",1000,1))/IF($E41="$millions",1000000,IF($E41="$000",1000,1))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98</v>
      </c>
      <c r="E43" s="30" t="str">
        <f>'Input|Reported opex'!$E$64</f>
        <v>$millions</v>
      </c>
      <c r="F43" s="161">
        <f>'Input|Reported opex'!$F$64</f>
        <v>42522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change_final'!K$25:K$30),INDEX('Input|Rate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K44" s="115">
        <f>K43*IF($F43="nominal",LOOKUP($F44,Nominal_to_Real,'Input|Rate of change_final'!L$25:L$30),INDEX('Input|Rate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L44" s="115">
        <f>L43*IF($F43="nominal",LOOKUP($F44,Nominal_to_Real,'Input|Rate of change_final'!M$25:M$30),INDEX('Input|Rate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M44" s="115">
        <f>M43*IF($F43="nominal",LOOKUP($F44,Nominal_to_Real,'Input|Rate of change_final'!N$25:N$30),INDEX('Input|Rate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N44" s="153">
        <f>N43*IF($F43="nominal",LOOKUP($F44,Nominal_to_Real,'Input|Rate of change_final'!O$25:O$30),INDEX('Input|Rate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O44" s="115">
        <f>O43*IF($F43="nominal",LOOKUP($F44,Nominal_to_Real,'Input|Rate of change_final'!P$25:P$30),INDEX('Input|Rate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P44" s="115">
        <f>P43*IF($F43="nominal",LOOKUP($F44,Nominal_to_Real,'Input|Rate of change_final'!Q$25:Q$30),INDEX('Input|Rate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Q44" s="115">
        <f>Q43*IF($F43="nominal",LOOKUP($F44,Nominal_to_Real,'Input|Rate of change_final'!R$25:R$30),INDEX('Input|Rate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R44" s="115">
        <f>R43*IF($F43="nominal",LOOKUP($F44,Nominal_to_Real,'Input|Rate of change_final'!S$25:S$30),INDEX('Input|Rate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  <c r="S44" s="115">
        <f>S43*IF($F43="nominal",LOOKUP($F44,Nominal_to_Real,'Input|Rate of change_final'!T$25:T$30),INDEX('Input|Rate of change_final'!$C$14:$O$21,MATCH('Calc|Opex forecast_final'!$F43,'Input|Rate of change_final'!$C$14:$C$21,0),MATCH('Calc|Opex forecast_final'!$F44,'Input|Rate of change_final'!$C$14:$O$14,0)))*IF($E43="$millions",1000000,IF($E43="$000",1000,1))/IF($E44="$millions",1000000,IF($E44="$000",1000,1))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98</v>
      </c>
      <c r="E46" s="30" t="str">
        <f>'Input|Reported opex'!$E$65</f>
        <v>$millions</v>
      </c>
      <c r="F46" s="161">
        <f>'Input|Reported opex'!$F$65</f>
        <v>42522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change_final'!K$25:K$30),INDEX('Input|Rate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K47" s="115">
        <f>K46*IF($F46="nominal",LOOKUP($F47,Nominal_to_Real,'Input|Rate of change_final'!L$25:L$30),INDEX('Input|Rate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L47" s="115">
        <f>L46*IF($F46="nominal",LOOKUP($F47,Nominal_to_Real,'Input|Rate of change_final'!M$25:M$30),INDEX('Input|Rate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M47" s="115">
        <f>M46*IF($F46="nominal",LOOKUP($F47,Nominal_to_Real,'Input|Rate of change_final'!N$25:N$30),INDEX('Input|Rate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N47" s="153">
        <f>N46*IF($F46="nominal",LOOKUP($F47,Nominal_to_Real,'Input|Rate of change_final'!O$25:O$30),INDEX('Input|Rate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O47" s="115">
        <f>O46*IF($F46="nominal",LOOKUP($F47,Nominal_to_Real,'Input|Rate of change_final'!P$25:P$30),INDEX('Input|Rate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P47" s="115">
        <f>P46*IF($F46="nominal",LOOKUP($F47,Nominal_to_Real,'Input|Rate of change_final'!Q$25:Q$30),INDEX('Input|Rate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Q47" s="115">
        <f>Q46*IF($F46="nominal",LOOKUP($F47,Nominal_to_Real,'Input|Rate of change_final'!R$25:R$30),INDEX('Input|Rate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R47" s="115">
        <f>R46*IF($F46="nominal",LOOKUP($F47,Nominal_to_Real,'Input|Rate of change_final'!S$25:S$30),INDEX('Input|Rate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  <c r="S47" s="115">
        <f>S46*IF($F46="nominal",LOOKUP($F47,Nominal_to_Real,'Input|Rate of change_final'!T$25:T$30),INDEX('Input|Rate of change_final'!$C$14:$O$21,MATCH('Calc|Opex forecast_final'!$F46,'Input|Rate of change_final'!$C$14:$C$21,0),MATCH('Calc|Opex forecast_final'!$F47,'Input|Rate of change_final'!$C$14:$O$14,0)))*IF($E46="$millions",1000000,IF($E46="$000",1000,1))/IF($E47="$millions",1000000,IF($E47="$000",1000,1))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98</v>
      </c>
      <c r="E49" s="30" t="str">
        <f>'Input|Reported opex'!$E$66</f>
        <v>$millions</v>
      </c>
      <c r="F49" s="161">
        <f>'Input|Reported opex'!$F$66</f>
        <v>42522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change_final'!K$25:K$30),INDEX('Input|Rate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K50" s="115">
        <f>K49*IF($F49="nominal",LOOKUP($F50,Nominal_to_Real,'Input|Rate of change_final'!L$25:L$30),INDEX('Input|Rate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L50" s="115">
        <f>L49*IF($F49="nominal",LOOKUP($F50,Nominal_to_Real,'Input|Rate of change_final'!M$25:M$30),INDEX('Input|Rate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M50" s="115">
        <f>M49*IF($F49="nominal",LOOKUP($F50,Nominal_to_Real,'Input|Rate of change_final'!N$25:N$30),INDEX('Input|Rate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N50" s="153">
        <f>N49*IF($F49="nominal",LOOKUP($F50,Nominal_to_Real,'Input|Rate of change_final'!O$25:O$30),INDEX('Input|Rate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O50" s="115">
        <f>O49*IF($F49="nominal",LOOKUP($F50,Nominal_to_Real,'Input|Rate of change_final'!P$25:P$30),INDEX('Input|Rate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P50" s="115">
        <f>P49*IF($F49="nominal",LOOKUP($F50,Nominal_to_Real,'Input|Rate of change_final'!Q$25:Q$30),INDEX('Input|Rate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Q50" s="115">
        <f>Q49*IF($F49="nominal",LOOKUP($F50,Nominal_to_Real,'Input|Rate of change_final'!R$25:R$30),INDEX('Input|Rate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R50" s="115">
        <f>R49*IF($F49="nominal",LOOKUP($F50,Nominal_to_Real,'Input|Rate of change_final'!S$25:S$30),INDEX('Input|Rate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  <c r="S50" s="115">
        <f>S49*IF($F49="nominal",LOOKUP($F50,Nominal_to_Real,'Input|Rate of change_final'!T$25:T$30),INDEX('Input|Rate of change_final'!$C$14:$O$21,MATCH('Calc|Opex forecast_final'!$F49,'Input|Rate of change_final'!$C$14:$C$21,0),MATCH('Calc|Opex forecast_final'!$F50,'Input|Rate of change_final'!$C$14:$O$14,0)))*IF($E49="$millions",1000000,IF($E49="$000",1000,1))/IF($E50="$millions",1000000,IF($E50="$000",1000,1))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95</v>
      </c>
      <c r="D52" s="110" t="s">
        <v>105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180</v>
      </c>
      <c r="D54" s="112" t="s">
        <v>105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267.5186276557987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93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113</v>
      </c>
      <c r="D61" s="110" t="s">
        <v>30</v>
      </c>
      <c r="E61" s="30" t="s">
        <v>31</v>
      </c>
      <c r="F61" s="30" t="s">
        <v>36</v>
      </c>
      <c r="J61" s="117">
        <f>IF(J58=J4,AVERAGE('Input|Rate of change_final'!K95:K98),0)</f>
        <v>0</v>
      </c>
      <c r="K61" s="117">
        <f>IF(K58=K4,AVERAGE('Input|Rate of change_final'!L95:L98),0)</f>
        <v>0</v>
      </c>
      <c r="L61" s="117">
        <f>IF(L58=L4,AVERAGE('Input|Rate of change_final'!M95:M98),0)</f>
        <v>0</v>
      </c>
      <c r="M61" s="117">
        <f>IF(M58=M4,AVERAGE('Input|Rate of change_final'!N95:N98),0)</f>
        <v>0</v>
      </c>
      <c r="N61" s="117">
        <f>IF(N58=N4,AVERAGE('Input|Rate of change_final'!O95:O98),0)</f>
        <v>0</v>
      </c>
      <c r="O61" s="117">
        <f>IF(O58=O4,AVERAGE('Input|Rate of change_final'!P95:P99),0)</f>
        <v>7.3229752348777195E-3</v>
      </c>
      <c r="P61" s="117">
        <f>IF(P58=P4,AVERAGE('Input|Rate of change_final'!Q95:Q99),0)</f>
        <v>6.4371948686940145E-3</v>
      </c>
      <c r="Q61" s="117">
        <f>IF(Q58=Q4,AVERAGE('Input|Rate of change_final'!R95:R99),0)</f>
        <v>5.2687981893614622E-3</v>
      </c>
      <c r="R61" s="117">
        <f>IF(R58=R4,AVERAGE('Input|Rate of change_final'!S95:S99),0)</f>
        <v>5.2891199858109191E-3</v>
      </c>
      <c r="S61" s="117">
        <f>IF(S58=S4,AVERAGE('Input|Rate of change_final'!T95:T99),0)</f>
        <v>5.3120227656746422E-3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86</v>
      </c>
      <c r="D63" s="110" t="s">
        <v>30</v>
      </c>
      <c r="E63" s="30" t="s">
        <v>31</v>
      </c>
      <c r="F63" s="30" t="s">
        <v>36</v>
      </c>
      <c r="J63" s="117">
        <f>SUMPRODUCT('Input|Rate of change_final'!K36:K43,'Input|Rate of change_final'!K49:K56)</f>
        <v>0</v>
      </c>
      <c r="K63" s="117">
        <f>SUMPRODUCT('Input|Rate of change_final'!L36:L43,'Input|Rate of change_final'!L49:L56)</f>
        <v>0</v>
      </c>
      <c r="L63" s="117">
        <f>SUMPRODUCT('Input|Rate of change_final'!M36:M43,'Input|Rate of change_final'!M49:M56)</f>
        <v>0</v>
      </c>
      <c r="M63" s="117">
        <f>SUMPRODUCT('Input|Rate of change_final'!N36:N43,'Input|Rate of change_final'!N49:N56)</f>
        <v>0</v>
      </c>
      <c r="N63" s="117">
        <f>SUMPRODUCT('Input|Rate of change_final'!O36:O43,'Input|Rate of change_final'!O49:O56)</f>
        <v>0</v>
      </c>
      <c r="O63" s="117">
        <f>SUMPRODUCT('Input|Rate of change_final'!P36:P43,'Input|Rate of change_final'!P49:P56)</f>
        <v>4.9836704308079292E-3</v>
      </c>
      <c r="P63" s="117">
        <f>SUMPRODUCT('Input|Rate of change_final'!Q36:Q43,'Input|Rate of change_final'!Q49:Q56)</f>
        <v>5.1422198259386473E-3</v>
      </c>
      <c r="Q63" s="117">
        <f>SUMPRODUCT('Input|Rate of change_final'!R36:R43,'Input|Rate of change_final'!R49:R56)</f>
        <v>5.2481720274048273E-3</v>
      </c>
      <c r="R63" s="117">
        <f>SUMPRODUCT('Input|Rate of change_final'!S36:S43,'Input|Rate of change_final'!S49:S56)</f>
        <v>5.3918798344307637E-3</v>
      </c>
      <c r="S63" s="117">
        <f>SUMPRODUCT('Input|Rate of change_final'!T36:T43,'Input|Rate of change_final'!T49:T56)</f>
        <v>5.0958959614877813E-3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109</v>
      </c>
      <c r="D65" s="110" t="s">
        <v>30</v>
      </c>
      <c r="E65" s="30" t="s">
        <v>31</v>
      </c>
      <c r="F65" s="30" t="s">
        <v>36</v>
      </c>
      <c r="J65" s="117">
        <f>'Input|Rate of change_final'!K105</f>
        <v>0</v>
      </c>
      <c r="K65" s="117">
        <f>'Input|Rate of change_final'!L105</f>
        <v>0</v>
      </c>
      <c r="L65" s="117">
        <f>'Input|Rate of change_final'!M105</f>
        <v>0</v>
      </c>
      <c r="M65" s="117">
        <f>'Input|Rate of change_final'!N105</f>
        <v>0</v>
      </c>
      <c r="N65" s="117">
        <f>'Input|Rate of change_final'!O105</f>
        <v>0</v>
      </c>
      <c r="O65" s="117">
        <f>'Input|Rate of change_final'!P105</f>
        <v>5.0000000000000001E-3</v>
      </c>
      <c r="P65" s="117">
        <f>'Input|Rate of change_final'!Q105</f>
        <v>5.0000000000000001E-3</v>
      </c>
      <c r="Q65" s="117">
        <f>'Input|Rate of change_final'!R105</f>
        <v>5.0000000000000001E-3</v>
      </c>
      <c r="R65" s="117">
        <f>'Input|Rate of change_final'!S105</f>
        <v>5.0000000000000001E-3</v>
      </c>
      <c r="S65" s="117">
        <f>'Input|Rate of change_final'!T105</f>
        <v>5.0000000000000001E-3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150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7.2814252560251536E-3</v>
      </c>
      <c r="P67" s="143">
        <f t="shared" si="6"/>
        <v>6.5544535848813812E-3</v>
      </c>
      <c r="Q67" s="143">
        <f t="shared" si="6"/>
        <v>5.4918986671617098E-3</v>
      </c>
      <c r="R67" s="143">
        <f t="shared" si="6"/>
        <v>5.65597052903688E-3</v>
      </c>
      <c r="S67" s="143">
        <f t="shared" si="6"/>
        <v>5.382813301308742E-3</v>
      </c>
    </row>
    <row r="68" spans="1:47" outlineLevel="1">
      <c r="C68" s="124" t="s">
        <v>151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7.2814252560251536E-3</v>
      </c>
      <c r="P68" s="117">
        <f t="array" ref="P68">IF(P$58=P$4,PRODUCT(1+$J67:P67)-1,"")</f>
        <v>1.3883604604778998E-2</v>
      </c>
      <c r="Q68" s="117">
        <f t="array" ref="Q68">IF(Q$58=Q$4,PRODUCT(1+$J67:Q67)-1,"")</f>
        <v>1.9451750621565012E-2</v>
      </c>
      <c r="R68" s="117">
        <f t="array" ref="R68">IF(R$58=R$4,PRODUCT(1+$J67:R67)-1,"")</f>
        <v>2.5217739678855544E-2</v>
      </c>
      <c r="S68" s="117">
        <f t="array" ref="S68">IF(S$58=S$4,PRODUCT(1+$J67:S67)-1,"")</f>
        <v>3.0736295364736543E-2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96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110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LV Management - Future Networks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change_final'!N$25:N$30),INDEX('Input|Rate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change_final'!O$25:O$30),INDEX('Input|Rate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change_final'!P$25:P$30),INDEX('Input|Rate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change_final'!Q$25:Q$30),INDEX('Input|Rate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change_final'!R$25:R$30),INDEX('Input|Rate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change_final'!S$25:S$30),INDEX('Input|Rate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change_final'!T$25:T$30),INDEX('Input|Rate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0.40110926524552842</v>
      </c>
      <c r="Q74" s="127">
        <f>'Input|Step changes'!Q12*IF('Input|Step changes'!$F12="nominal",LOOKUP($F74,Nominal_to_Real,'Input|Rate of change_final'!U$25:U$30),INDEX('Input|Rate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0.92790671987317064</v>
      </c>
      <c r="R74" s="127">
        <f>'Input|Step changes'!R12*IF('Input|Step changes'!$F12="nominal",LOOKUP($F74,Nominal_to_Real,'Input|Rate of change_final'!V$25:V$30),INDEX('Input|Rate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1.0852901917951219</v>
      </c>
      <c r="S74" s="127">
        <f>'Input|Step changes'!S12*IF('Input|Step changes'!$F12="nominal",LOOKUP($F74,Nominal_to_Real,'Input|Rate of change_final'!W$25:W$30),INDEX('Input|Rate of change_final'!$C$14:$O$21,MATCH('Input|Step changes'!$F12,'Input|Rate of change_final'!$C$14:$C$21,0),MATCH('Calc|Opex forecast_final'!$F74,'Input|Rate of change_final'!$C$14:$O$14,0)))*IF('Input|Step changes'!$E12="$millions",1000000,IF('Input|Step changes'!$E12="$000",1000,1))/IF($E74="$millions",1000000,IF($E74="$000",1000,1))</f>
        <v>1.3137148142373982</v>
      </c>
    </row>
    <row r="75" spans="1:47" outlineLevel="1">
      <c r="C75" s="121" t="str">
        <f>'Input|Step changes'!C13</f>
        <v>Cloud Transition - Cloud Hosting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change_final'!N$25:N$30),INDEX('Input|Rate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change_final'!O$25:O$30),INDEX('Input|Rate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change_final'!P$25:P$30),INDEX('Input|Rate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change_final'!Q$25:Q$30),INDEX('Input|Rate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change_final'!R$25:R$30),INDEX('Input|Rate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change_final'!S$25:S$30),INDEX('Input|Rate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0.9464786252716737</v>
      </c>
      <c r="P75" s="127">
        <f>'Input|Step changes'!P13*IF('Input|Step changes'!$F13="nominal",LOOKUP($F75,Nominal_to_Real,'Input|Rate of change_final'!T$25:T$30),INDEX('Input|Rate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1.1774650011228744</v>
      </c>
      <c r="Q75" s="127">
        <f>'Input|Step changes'!Q13*IF('Input|Step changes'!$F13="nominal",LOOKUP($F75,Nominal_to_Real,'Input|Rate of change_final'!U$25:U$30),INDEX('Input|Rate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1.6333986125606377</v>
      </c>
      <c r="R75" s="127">
        <f>'Input|Step changes'!R13*IF('Input|Step changes'!$F13="nominal",LOOKUP($F75,Nominal_to_Real,'Input|Rate of change_final'!V$25:V$30),INDEX('Input|Rate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1.6831592709506429</v>
      </c>
      <c r="S75" s="127">
        <f>'Input|Step changes'!S13*IF('Input|Step changes'!$F13="nominal",LOOKUP($F75,Nominal_to_Real,'Input|Rate of change_final'!W$25:W$30),INDEX('Input|Rate of change_final'!$C$14:$O$21,MATCH('Input|Step changes'!$F13,'Input|Rate of change_final'!$C$14:$C$21,0),MATCH('Calc|Opex forecast_final'!$F75,'Input|Rate of change_final'!$C$14:$O$14,0)))*IF('Input|Step changes'!$E13="$millions",1000000,IF('Input|Step changes'!$E13="$000",1000,1))/IF($E75="$millions",1000000,IF($E75="$000",1000,1))</f>
        <v>1.740934159081059</v>
      </c>
    </row>
    <row r="76" spans="1:47" outlineLevel="1">
      <c r="C76" s="121" t="str">
        <f>'Input|Step changes'!C14</f>
        <v>Cloud Transition - Work Scheduling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change_final'!N$25:N$30),INDEX('Input|Rate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change_final'!O$25:O$30),INDEX('Input|Rate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change_final'!P$25:P$30),INDEX('Input|Rate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change_final'!Q$25:Q$30),INDEX('Input|Rate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change_final'!R$25:R$30),INDEX('Input|Rate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change_final'!S$25:S$30),INDEX('Input|Rate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0.74836727235024181</v>
      </c>
      <c r="P76" s="127">
        <f>'Input|Step changes'!P14*IF('Input|Step changes'!$F14="nominal",LOOKUP($F76,Nominal_to_Real,'Input|Rate of change_final'!T$25:T$30),INDEX('Input|Rate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0.74836727235024181</v>
      </c>
      <c r="Q76" s="127">
        <f>'Input|Step changes'!Q14*IF('Input|Step changes'!$F14="nominal",LOOKUP($F76,Nominal_to_Real,'Input|Rate of change_final'!U$25:U$30),INDEX('Input|Rate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0.74836727235024181</v>
      </c>
      <c r="R76" s="127">
        <f>'Input|Step changes'!R14*IF('Input|Step changes'!$F14="nominal",LOOKUP($F76,Nominal_to_Real,'Input|Rate of change_final'!V$25:V$30),INDEX('Input|Rate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0.74836727235024181</v>
      </c>
      <c r="S76" s="127">
        <f>'Input|Step changes'!S14*IF('Input|Step changes'!$F14="nominal",LOOKUP($F76,Nominal_to_Real,'Input|Rate of change_final'!W$25:W$30),INDEX('Input|Rate of change_final'!$C$14:$O$21,MATCH('Input|Step changes'!$F14,'Input|Rate of change_final'!$C$14:$C$21,0),MATCH('Calc|Opex forecast_final'!$F76,'Input|Rate of change_final'!$C$14:$O$14,0)))*IF('Input|Step changes'!$E14="$millions",1000000,IF('Input|Step changes'!$E14="$000",1000,1))/IF($E76="$millions",1000000,IF($E76="$000",1000,1))</f>
        <v>0.74836727235024181</v>
      </c>
    </row>
    <row r="77" spans="1:47" outlineLevel="1">
      <c r="C77" s="121" t="str">
        <f>'Input|Step changes'!C15</f>
        <v>Critical Infrastructure Compliance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change_final'!N$25:N$30),INDEX('Input|Rate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change_final'!O$25:O$30),INDEX('Input|Rate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change_final'!P$25:P$30),INDEX('Input|Rate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change_final'!Q$25:Q$30),INDEX('Input|Rate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change_final'!R$25:R$30),INDEX('Input|Rate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change_final'!S$25:S$30),INDEX('Input|Rate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1.8079585462511292</v>
      </c>
      <c r="P77" s="127">
        <f>'Input|Step changes'!P15*IF('Input|Step changes'!$F15="nominal",LOOKUP($F77,Nominal_to_Real,'Input|Rate of change_final'!T$25:T$30),INDEX('Input|Rate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1.9785996829268289</v>
      </c>
      <c r="Q77" s="127">
        <f>'Input|Step changes'!Q15*IF('Input|Step changes'!$F15="nominal",LOOKUP($F77,Nominal_to_Real,'Input|Rate of change_final'!U$25:U$30),INDEX('Input|Rate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2.0885218875338754</v>
      </c>
      <c r="R77" s="127">
        <f>'Input|Step changes'!R15*IF('Input|Step changes'!$F15="nominal",LOOKUP($F77,Nominal_to_Real,'Input|Rate of change_final'!V$25:V$30),INDEX('Input|Rate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2.0885218875338754</v>
      </c>
      <c r="S77" s="127">
        <f>'Input|Step changes'!S15*IF('Input|Step changes'!$F15="nominal",LOOKUP($F77,Nominal_to_Real,'Input|Rate of change_final'!W$25:W$30),INDEX('Input|Rate of change_final'!$C$14:$O$21,MATCH('Input|Step changes'!$F15,'Input|Rate of change_final'!$C$14:$C$21,0),MATCH('Calc|Opex forecast_final'!$F77,'Input|Rate of change_final'!$C$14:$O$14,0)))*IF('Input|Step changes'!$E15="$millions",1000000,IF('Input|Step changes'!$E15="$000",1000,1))/IF($E77="$millions",1000000,IF($E77="$000",1000,1))</f>
        <v>2.0885218875338754</v>
      </c>
    </row>
    <row r="78" spans="1:47" outlineLevel="1">
      <c r="C78" s="121" t="str">
        <f>'Input|Step changes'!C16</f>
        <v>Cable/Conductor Repair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change_final'!N$25:N$30),INDEX('Input|Rate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change_final'!O$25:O$30),INDEX('Input|Rate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change_final'!P$25:P$30),INDEX('Input|Rate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change_final'!Q$25:Q$30),INDEX('Input|Rate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change_final'!R$25:R$30),INDEX('Input|Rate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change_final'!S$25:S$30),INDEX('Input|Rate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11.253249556788578</v>
      </c>
      <c r="P78" s="127">
        <f>'Input|Step changes'!P16*IF('Input|Step changes'!$F16="nominal",LOOKUP($F78,Nominal_to_Real,'Input|Rate of change_final'!T$25:T$30),INDEX('Input|Rate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11.253249556788578</v>
      </c>
      <c r="Q78" s="127">
        <f>'Input|Step changes'!Q16*IF('Input|Step changes'!$F16="nominal",LOOKUP($F78,Nominal_to_Real,'Input|Rate of change_final'!U$25:U$30),INDEX('Input|Rate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11.253249556788578</v>
      </c>
      <c r="R78" s="127">
        <f>'Input|Step changes'!R16*IF('Input|Step changes'!$F16="nominal",LOOKUP($F78,Nominal_to_Real,'Input|Rate of change_final'!V$25:V$30),INDEX('Input|Rate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11.253249556788578</v>
      </c>
      <c r="S78" s="127">
        <f>'Input|Step changes'!S16*IF('Input|Step changes'!$F16="nominal",LOOKUP($F78,Nominal_to_Real,'Input|Rate of change_final'!W$25:W$30),INDEX('Input|Rate of change_final'!$C$14:$O$21,MATCH('Input|Step changes'!$F16,'Input|Rate of change_final'!$C$14:$C$21,0),MATCH('Calc|Opex forecast_final'!$F78,'Input|Rate of change_final'!$C$14:$O$14,0)))*IF('Input|Step changes'!$E16="$millions",1000000,IF('Input|Step changes'!$E16="$000",1000,1))/IF($E78="$millions",1000000,IF($E78="$000",1000,1))</f>
        <v>11.253249556788578</v>
      </c>
    </row>
    <row r="79" spans="1:47" outlineLevel="1">
      <c r="C79" s="121" t="str">
        <f>'Input|Step changes'!C17</f>
        <v>GSL reliability duration payments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change_final'!N$25:N$30),INDEX('Input|Rate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change_final'!O$25:O$30),INDEX('Input|Rate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change_final'!P$25:P$30),INDEX('Input|Rate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change_final'!Q$25:Q$30),INDEX('Input|Rate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change_final'!R$25:R$30),INDEX('Input|Rate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change_final'!S$25:S$30),INDEX('Input|Rate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-2.5662250437721248</v>
      </c>
      <c r="P79" s="127">
        <f>'Input|Step changes'!P17*IF('Input|Step changes'!$F17="nominal",LOOKUP($F79,Nominal_to_Real,'Input|Rate of change_final'!T$25:T$30),INDEX('Input|Rate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-2.5662250437721248</v>
      </c>
      <c r="Q79" s="127">
        <f>'Input|Step changes'!Q17*IF('Input|Step changes'!$F17="nominal",LOOKUP($F79,Nominal_to_Real,'Input|Rate of change_final'!U$25:U$30),INDEX('Input|Rate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-2.5662250437721248</v>
      </c>
      <c r="R79" s="127">
        <f>'Input|Step changes'!R17*IF('Input|Step changes'!$F17="nominal",LOOKUP($F79,Nominal_to_Real,'Input|Rate of change_final'!V$25:V$30),INDEX('Input|Rate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-2.5662250437721248</v>
      </c>
      <c r="S79" s="127">
        <f>'Input|Step changes'!S17*IF('Input|Step changes'!$F17="nominal",LOOKUP($F79,Nominal_to_Real,'Input|Rate of change_final'!W$25:W$30),INDEX('Input|Rate of change_final'!$C$14:$O$21,MATCH('Input|Step changes'!$F17,'Input|Rate of change_final'!$C$14:$C$21,0),MATCH('Calc|Opex forecast_final'!$F79,'Input|Rate of change_final'!$C$14:$O$14,0)))*IF('Input|Step changes'!$E17="$millions",1000000,IF('Input|Step changes'!$E17="$000",1000,1))/IF($E79="$millions",1000000,IF($E79="$000",1000,1))</f>
        <v>-2.5662250437721248</v>
      </c>
    </row>
    <row r="80" spans="1:47" outlineLevel="1">
      <c r="C80" s="121" t="str">
        <f>'Input|Step changes'!C18</f>
        <v>Distribution Licence Fee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change_final'!N$25:N$30),INDEX('Input|Rate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change_final'!O$25:O$30),INDEX('Input|Rate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change_final'!P$25:P$30),INDEX('Input|Rate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change_final'!Q$25:Q$30),INDEX('Input|Rate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change_final'!R$25:R$30),INDEX('Input|Rate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change_final'!S$25:S$30),INDEX('Input|Rate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0.62131979999999987</v>
      </c>
      <c r="P80" s="127">
        <f>'Input|Step changes'!P18*IF('Input|Step changes'!$F18="nominal",LOOKUP($F80,Nominal_to_Real,'Input|Rate of change_final'!T$25:T$30),INDEX('Input|Rate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0.55287113880000005</v>
      </c>
      <c r="Q80" s="127">
        <f>'Input|Step changes'!Q18*IF('Input|Step changes'!$F18="nominal",LOOKUP($F80,Nominal_to_Real,'Input|Rate of change_final'!U$25:U$30),INDEX('Input|Rate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0.48603786600432031</v>
      </c>
      <c r="R80" s="127">
        <f>'Input|Step changes'!R18*IF('Input|Step changes'!$F18="nominal",LOOKUP($F80,Nominal_to_Real,'Input|Rate of change_final'!V$25:V$30),INDEX('Input|Rate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0.42078185844661853</v>
      </c>
      <c r="S80" s="127">
        <f>'Input|Step changes'!S18*IF('Input|Step changes'!$F18="nominal",LOOKUP($F80,Nominal_to_Real,'Input|Rate of change_final'!W$25:W$30),INDEX('Input|Rate of change_final'!$C$14:$O$21,MATCH('Input|Step changes'!$F18,'Input|Rate of change_final'!$C$14:$C$21,0),MATCH('Calc|Opex forecast_final'!$F80,'Input|Rate of change_final'!$C$14:$O$14,0)))*IF('Input|Step changes'!$E18="$millions",1000000,IF('Input|Step changes'!$E18="$000",1000,1))/IF($E80="$millions",1000000,IF($E80="$000",1000,1))</f>
        <v>0.35706589266727828</v>
      </c>
    </row>
    <row r="81" spans="1:47" outlineLevel="1">
      <c r="C81" s="121" t="str">
        <f>'Input|Step changes'!C19</f>
        <v>Bushfire insurance premiums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change_final'!N$25:N$30),INDEX('Input|Rate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change_final'!O$25:O$30),INDEX('Input|Rate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change_final'!P$25:P$30),INDEX('Input|Rate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change_final'!Q$25:Q$30),INDEX('Input|Rate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change_final'!R$25:R$30),INDEX('Input|Rate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change_final'!S$25:S$30),INDEX('Input|Rate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change_final'!T$25:T$30),INDEX('Input|Rate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change_final'!U$25:U$30),INDEX('Input|Rate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change_final'!V$25:V$30),INDEX('Input|Rate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change_final'!W$25:W$30),INDEX('Input|Rate of change_final'!$C$14:$O$21,MATCH('Input|Step changes'!$F19,'Input|Rate of change_final'!$C$14:$C$21,0),MATCH('Calc|Opex forecast_final'!$F81,'Input|Rate of change_final'!$C$14:$O$14,0)))*IF('Input|Step changes'!$E19="$millions",1000000,IF('Input|Step changes'!$E19="$000",1000,1))/IF($E81="$millions",1000000,IF($E81="$000",1000,1))</f>
        <v>0</v>
      </c>
    </row>
    <row r="82" spans="1:47" outlineLevel="1">
      <c r="C82" s="121" t="str">
        <f>'Input|Step changes'!C21</f>
        <v>LV Monitoring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changes'!J21*IF('Input|Step changes'!$F21="nominal",LOOKUP($F82,Nominal_to_Real,'Input|Rate of change_final'!N$25:N$30),INDEX('Input|Rate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0</v>
      </c>
      <c r="K82" s="127">
        <f>'Input|Step changes'!K21*IF('Input|Step changes'!$F21="nominal",LOOKUP($F82,Nominal_to_Real,'Input|Rate of change_final'!O$25:O$30),INDEX('Input|Rate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0</v>
      </c>
      <c r="L82" s="127">
        <f>'Input|Step changes'!L21*IF('Input|Step changes'!$F21="nominal",LOOKUP($F82,Nominal_to_Real,'Input|Rate of change_final'!P$25:P$30),INDEX('Input|Rate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0</v>
      </c>
      <c r="M82" s="127">
        <f>'Input|Step changes'!M21*IF('Input|Step changes'!$F21="nominal",LOOKUP($F82,Nominal_to_Real,'Input|Rate of change_final'!Q$25:Q$30),INDEX('Input|Rate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0</v>
      </c>
      <c r="N82" s="127">
        <f>'Input|Step changes'!N21*IF('Input|Step changes'!$F21="nominal",LOOKUP($F82,Nominal_to_Real,'Input|Rate of change_final'!R$25:R$30),INDEX('Input|Rate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0</v>
      </c>
      <c r="O82" s="127">
        <f>'Input|Step changes'!O21*IF('Input|Step changes'!$F21="nominal",LOOKUP($F82,Nominal_to_Real,'Input|Rate of change_final'!S$25:S$30),INDEX('Input|Rate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-0.11292141042000001</v>
      </c>
      <c r="P82" s="127">
        <f>'Input|Step changes'!P21*IF('Input|Step changes'!$F21="nominal",LOOKUP($F82,Nominal_to_Real,'Input|Rate of change_final'!T$25:T$30),INDEX('Input|Rate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-0.43210751038</v>
      </c>
      <c r="Q82" s="127">
        <f>'Input|Step changes'!Q21*IF('Input|Step changes'!$F21="nominal",LOOKUP($F82,Nominal_to_Real,'Input|Rate of change_final'!U$25:U$30),INDEX('Input|Rate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-0.31395466739</v>
      </c>
      <c r="R82" s="127">
        <f>'Input|Step changes'!R21*IF('Input|Step changes'!$F21="nominal",LOOKUP($F82,Nominal_to_Real,'Input|Rate of change_final'!V$25:V$30),INDEX('Input|Rate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-0.22342145007</v>
      </c>
      <c r="S82" s="127">
        <f>'Input|Step changes'!S21*IF('Input|Step changes'!$F21="nominal",LOOKUP($F82,Nominal_to_Real,'Input|Rate of change_final'!W$25:W$30),INDEX('Input|Rate of change_final'!$C$14:$O$21,MATCH('Input|Step changes'!$F21,'Input|Rate of change_final'!$C$14:$C$21,0),MATCH('Calc|Opex forecast_final'!$F82,'Input|Rate of change_final'!$C$14:$O$14,0)))*IF('Input|Step changes'!$E21="$millions",1000000,IF('Input|Step changes'!$E21="$000",1000,1))/IF($E82="$millions",1000000,IF($E82="$000",1000,1))</f>
        <v>-0.21643013938000003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12.698227346469498</v>
      </c>
      <c r="P84" s="177">
        <f t="shared" si="9"/>
        <v>13.113329363081927</v>
      </c>
      <c r="Q84" s="177">
        <f t="shared" si="9"/>
        <v>14.257302203948697</v>
      </c>
      <c r="R84" s="177">
        <f t="shared" si="9"/>
        <v>14.489723544022956</v>
      </c>
      <c r="S84" s="177">
        <f t="shared" si="9"/>
        <v>14.719198399506309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129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119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changes'!C29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changes'!J29*IF('Input|Step changes'!$F29="nominal",LOOKUP($F90,Nominal_to_Real,'Input|Rate of change_final'!N$25:N$30),INDEX('Input|Rate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K90" s="127">
        <f>'Input|Step changes'!K29*IF('Input|Step changes'!$F29="nominal",LOOKUP($F90,Nominal_to_Real,'Input|Rate of change_final'!O$25:O$30),INDEX('Input|Rate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L90" s="127">
        <f>'Input|Step changes'!L29*IF('Input|Step changes'!$F29="nominal",LOOKUP($F90,Nominal_to_Real,'Input|Rate of change_final'!P$25:P$30),INDEX('Input|Rate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M90" s="127">
        <f>'Input|Step changes'!M29*IF('Input|Step changes'!$F29="nominal",LOOKUP($F90,Nominal_to_Real,'Input|Rate of change_final'!Q$25:Q$30),INDEX('Input|Rate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N90" s="127">
        <f>'Input|Step changes'!N29*IF('Input|Step changes'!$F29="nominal",LOOKUP($F90,Nominal_to_Real,'Input|Rate of change_final'!R$25:R$30),INDEX('Input|Rate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O90" s="127">
        <f>'Input|Step changes'!O29*IF('Input|Step changes'!$F29="nominal",LOOKUP($F90,Nominal_to_Real,'Input|Rate of change_final'!S$25:S$30),INDEX('Input|Rate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P90" s="127">
        <f>'Input|Step changes'!P29*IF('Input|Step changes'!$F29="nominal",LOOKUP($F90,Nominal_to_Real,'Input|Rate of change_final'!T$25:T$30),INDEX('Input|Rate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Q90" s="127">
        <f>'Input|Step changes'!Q29*IF('Input|Step changes'!$F29="nominal",LOOKUP($F90,Nominal_to_Real,'Input|Rate of change_final'!U$25:U$30),INDEX('Input|Rate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R90" s="127">
        <f>'Input|Step changes'!R29*IF('Input|Step changes'!$F29="nominal",LOOKUP($F90,Nominal_to_Real,'Input|Rate of change_final'!V$25:V$30),INDEX('Input|Rate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  <c r="S90" s="127">
        <f>'Input|Step changes'!S29*IF('Input|Step changes'!$F29="nominal",LOOKUP($F90,Nominal_to_Real,'Input|Rate of change_final'!W$25:W$30),INDEX('Input|Rate of change_final'!$C$14:$O$21,MATCH('Input|Step changes'!$F29,'Input|Rate of change_final'!$C$14:$C$21,0),MATCH('Calc|Opex forecast_final'!$F90,'Input|Rate of change_final'!$C$14:$O$14,0)))*IF('Input|Step changes'!$E29="$millions",1000000,IF('Input|Step changes'!$E29="$000",1000,1))/IF($E90="$millions",1000000,IF($E90="$000",1000,1))</f>
        <v>0</v>
      </c>
    </row>
    <row r="91" spans="1:47" outlineLevel="1">
      <c r="C91" s="121">
        <f>'Input|Step changes'!C30</f>
        <v>0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changes'!J30*IF('Input|Step changes'!$F30="nominal",LOOKUP($F91,Nominal_to_Real,'Input|Rate of change_final'!N$25:N$30),INDEX('Input|Rate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K91" s="127">
        <f>'Input|Step changes'!K30*IF('Input|Step changes'!$F30="nominal",LOOKUP($F91,Nominal_to_Real,'Input|Rate of change_final'!O$25:O$30),INDEX('Input|Rate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L91" s="127">
        <f>'Input|Step changes'!L30*IF('Input|Step changes'!$F30="nominal",LOOKUP($F91,Nominal_to_Real,'Input|Rate of change_final'!P$25:P$30),INDEX('Input|Rate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M91" s="127">
        <f>'Input|Step changes'!M30*IF('Input|Step changes'!$F30="nominal",LOOKUP($F91,Nominal_to_Real,'Input|Rate of change_final'!Q$25:Q$30),INDEX('Input|Rate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N91" s="127">
        <f>'Input|Step changes'!N30*IF('Input|Step changes'!$F30="nominal",LOOKUP($F91,Nominal_to_Real,'Input|Rate of change_final'!R$25:R$30),INDEX('Input|Rate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O91" s="127">
        <f>'Input|Step changes'!O30*IF('Input|Step changes'!$F30="nominal",LOOKUP($F91,Nominal_to_Real,'Input|Rate of change_final'!S$25:S$30),INDEX('Input|Rate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P91" s="127">
        <f>'Input|Step changes'!P30*IF('Input|Step changes'!$F30="nominal",LOOKUP($F91,Nominal_to_Real,'Input|Rate of change_final'!T$25:T$30),INDEX('Input|Rate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Q91" s="127">
        <f>'Input|Step changes'!Q30*IF('Input|Step changes'!$F30="nominal",LOOKUP($F91,Nominal_to_Real,'Input|Rate of change_final'!U$25:U$30),INDEX('Input|Rate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R91" s="127">
        <f>'Input|Step changes'!R30*IF('Input|Step changes'!$F30="nominal",LOOKUP($F91,Nominal_to_Real,'Input|Rate of change_final'!V$25:V$30),INDEX('Input|Rate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  <c r="S91" s="127">
        <f>'Input|Step changes'!S30*IF('Input|Step changes'!$F30="nominal",LOOKUP($F91,Nominal_to_Real,'Input|Rate of change_final'!W$25:W$30),INDEX('Input|Rate of change_final'!$C$14:$O$21,MATCH('Input|Step changes'!$F30,'Input|Rate of change_final'!$C$14:$C$21,0),MATCH('Calc|Opex forecast_final'!$F91,'Input|Rate of change_final'!$C$14:$O$14,0)))*IF('Input|Step changes'!$E30="$millions",1000000,IF('Input|Step changes'!$E30="$000",1000,1))/IF($E91="$millions",1000000,IF($E91="$000",1000,1))</f>
        <v>0</v>
      </c>
    </row>
    <row r="92" spans="1:47" outlineLevel="1">
      <c r="C92" s="121">
        <f>'Input|Step changes'!C31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changes'!J31*IF('Input|Step changes'!$F31="nominal",LOOKUP($F92,Nominal_to_Real,'Input|Rate of change_final'!N$25:N$30),INDEX('Input|Rate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K92" s="127">
        <f>'Input|Step changes'!K31*IF('Input|Step changes'!$F31="nominal",LOOKUP($F92,Nominal_to_Real,'Input|Rate of change_final'!O$25:O$30),INDEX('Input|Rate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L92" s="127">
        <f>'Input|Step changes'!L31*IF('Input|Step changes'!$F31="nominal",LOOKUP($F92,Nominal_to_Real,'Input|Rate of change_final'!P$25:P$30),INDEX('Input|Rate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M92" s="127">
        <f>'Input|Step changes'!M31*IF('Input|Step changes'!$F31="nominal",LOOKUP($F92,Nominal_to_Real,'Input|Rate of change_final'!Q$25:Q$30),INDEX('Input|Rate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N92" s="127">
        <f>'Input|Step changes'!N31*IF('Input|Step changes'!$F31="nominal",LOOKUP($F92,Nominal_to_Real,'Input|Rate of change_final'!R$25:R$30),INDEX('Input|Rate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O92" s="127">
        <f>'Input|Step changes'!O31*IF('Input|Step changes'!$F31="nominal",LOOKUP($F92,Nominal_to_Real,'Input|Rate of change_final'!S$25:S$30),INDEX('Input|Rate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P92" s="127">
        <f>'Input|Step changes'!P31*IF('Input|Step changes'!$F31="nominal",LOOKUP($F92,Nominal_to_Real,'Input|Rate of change_final'!T$25:T$30),INDEX('Input|Rate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Q92" s="127">
        <f>'Input|Step changes'!Q31*IF('Input|Step changes'!$F31="nominal",LOOKUP($F92,Nominal_to_Real,'Input|Rate of change_final'!U$25:U$30),INDEX('Input|Rate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R92" s="127">
        <f>'Input|Step changes'!R31*IF('Input|Step changes'!$F31="nominal",LOOKUP($F92,Nominal_to_Real,'Input|Rate of change_final'!V$25:V$30),INDEX('Input|Rate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  <c r="S92" s="127">
        <f>'Input|Step changes'!S31*IF('Input|Step changes'!$F31="nominal",LOOKUP($F92,Nominal_to_Real,'Input|Rate of change_final'!W$25:W$30),INDEX('Input|Rate of change_final'!$C$14:$O$21,MATCH('Input|Step changes'!$F31,'Input|Rate of change_final'!$C$14:$C$21,0),MATCH('Calc|Opex forecast_final'!$F92,'Input|Rate of change_final'!$C$14:$O$14,0)))*IF('Input|Step changes'!$E31="$millions",1000000,IF('Input|Step changes'!$E31="$000",1000,1))/IF($E92="$millions",1000000,IF($E92="$000",1000,1))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130</v>
      </c>
      <c r="D94" s="122" t="s">
        <v>30</v>
      </c>
      <c r="E94" s="122" t="str">
        <f>$E$8</f>
        <v>$millions</v>
      </c>
      <c r="F94" s="175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97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147</v>
      </c>
      <c r="D100" s="126" t="s">
        <v>30</v>
      </c>
      <c r="E100" s="126" t="str">
        <f>$E$8</f>
        <v>$millions</v>
      </c>
      <c r="F100" s="175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282.16477189413831</v>
      </c>
      <c r="P100" s="151">
        <f t="shared" si="14"/>
        <v>284.34607986966682</v>
      </c>
      <c r="Q100" s="151">
        <f t="shared" si="14"/>
        <v>286.97963549153133</v>
      </c>
      <c r="R100" s="151">
        <f t="shared" si="14"/>
        <v>288.75456631129032</v>
      </c>
      <c r="S100" s="151">
        <f t="shared" si="14"/>
        <v>290.46035761050263</v>
      </c>
    </row>
    <row r="101" spans="1:47" outlineLevel="1">
      <c r="C101" s="123" t="s">
        <v>117</v>
      </c>
      <c r="D101" s="126" t="s">
        <v>30</v>
      </c>
      <c r="E101" s="126" t="str">
        <f>$E$8</f>
        <v>$millions</v>
      </c>
      <c r="F101" s="175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282.16477189413831</v>
      </c>
      <c r="P101" s="151">
        <f t="shared" si="15"/>
        <v>284.34607986966682</v>
      </c>
      <c r="Q101" s="151">
        <f t="shared" si="15"/>
        <v>286.97963549153133</v>
      </c>
      <c r="R101" s="151">
        <f t="shared" si="15"/>
        <v>288.75456631129032</v>
      </c>
      <c r="S101" s="151">
        <f t="shared" si="15"/>
        <v>290.46035761050263</v>
      </c>
    </row>
    <row r="102" spans="1:47" outlineLevel="1">
      <c r="C102" s="123" t="s">
        <v>118</v>
      </c>
      <c r="D102" s="126" t="s">
        <v>30</v>
      </c>
      <c r="E102" s="126" t="str">
        <f>$E$8</f>
        <v>$millions</v>
      </c>
      <c r="F102" s="175">
        <f t="shared" si="13"/>
        <v>43983</v>
      </c>
      <c r="J102" s="151" t="str">
        <f>IF(YEAR(J$4)&gt;=FPFirstYear,IF(YEAR(J$4)&lt;=FPLastYear,J101+'Input|Step changes'!J39,""),"")</f>
        <v/>
      </c>
      <c r="K102" s="151" t="str">
        <f>IF(YEAR(K$4)&gt;=FPFirstYear,IF(YEAR(K$4)&lt;=FPLastYear,K101+'Input|Step changes'!K39,""),"")</f>
        <v/>
      </c>
      <c r="L102" s="151" t="str">
        <f>IF(YEAR(L$4)&gt;=FPFirstYear,IF(YEAR(L$4)&lt;=FPLastYear,L101+'Input|Step changes'!L39,""),"")</f>
        <v/>
      </c>
      <c r="M102" s="151" t="str">
        <f>IF(YEAR(M$4)&gt;=FPFirstYear,IF(YEAR(M$4)&lt;=FPLastYear,M101+'Input|Step changes'!M39,""),"")</f>
        <v/>
      </c>
      <c r="N102" s="151" t="str">
        <f>IF(YEAR(N$4)&gt;=FPFirstYear,IF(YEAR(N$4)&lt;=FPLastYear,N101+'Input|Step changes'!N39,""),"")</f>
        <v/>
      </c>
      <c r="O102" s="151">
        <f>IF(YEAR(O$4)&gt;=FPFirstYear,IF(YEAR(O$4)&lt;=FPLastYear,O101+'Input|Step changes'!O39,""),"")</f>
        <v>284.2537847926223</v>
      </c>
      <c r="P102" s="151">
        <f>IF(YEAR(P$4)&gt;=FPFirstYear,IF(YEAR(P$4)&lt;=FPLastYear,P101+'Input|Step changes'!P39,""),"")</f>
        <v>286.4436379107625</v>
      </c>
      <c r="Q102" s="151">
        <f>IF(YEAR(Q$4)&gt;=FPFirstYear,IF(YEAR(Q$4)&lt;=FPLastYear,Q101+'Input|Step changes'!Q39,""),"")</f>
        <v>289.08375234091852</v>
      </c>
      <c r="R102" s="151">
        <f>IF(YEAR(R$4)&gt;=FPFirstYear,IF(YEAR(R$4)&lt;=FPLastYear,R101+'Input|Step changes'!R39,""),"")</f>
        <v>290.85144043730969</v>
      </c>
      <c r="S102" s="151">
        <f>IF(YEAR(S$4)&gt;=FPFirstYear,IF(YEAR(S$4)&lt;=FPLastYear,S101+'Input|Step changes'!S39,""),"")</f>
        <v>292.54798177691805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S1" sqref="S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88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132</v>
      </c>
      <c r="K3" s="173"/>
      <c r="L3" s="173"/>
      <c r="M3" s="183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forecast_final'!C100</f>
        <v>Total forecast opex, excluding category specific forecasts</v>
      </c>
      <c r="D13" s="34" t="s">
        <v>111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forecast_final'!J100*IF('Calc|Opex forecast_final'!$F$100="nominal",LOOKUP($F13,Nominal_to_Real,'Input|Rate of change_final'!P$25:P$30),INDEX('Input|Rate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0</v>
      </c>
      <c r="K13" s="181">
        <f>IF(K11="",0,'Calc|Opex forecast_final'!K100*IF('Calc|Opex forecast_final'!$F$100="nominal",LOOKUP($F13,Nominal_to_Real,'Input|Rate of change_final'!Q$25:Q$30),INDEX('Input|Rate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0</v>
      </c>
      <c r="L13" s="181">
        <f>IF(L11="",0,'Calc|Opex forecast_final'!L100*IF('Calc|Opex forecast_final'!$F$100="nominal",LOOKUP($F13,Nominal_to_Real,'Input|Rate of change_final'!R$25:R$30),INDEX('Input|Rate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0</v>
      </c>
      <c r="M13" s="181">
        <f>IF(M11="",0,'Calc|Opex forecast_final'!M100*IF('Calc|Opex forecast_final'!$F$100="nominal",LOOKUP($F13,Nominal_to_Real,'Input|Rate of change_final'!S$25:S$30),INDEX('Input|Rate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0</v>
      </c>
      <c r="N13" s="181">
        <f>IF(N11="",0,'Calc|Opex forecast_final'!N100*IF('Calc|Opex forecast_final'!$F$100="nominal",LOOKUP($F13,Nominal_to_Real,'Input|Rate of change_final'!T$25:T$30),INDEX('Input|Rate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0</v>
      </c>
      <c r="O13" s="181">
        <f>IF(O11="",0,'Calc|Opex forecast_final'!O100*IF('Calc|Opex forecast_final'!$F$100="nominal",LOOKUP($F13,Nominal_to_Real,'Input|Rate of change_final'!U$25:U$30),INDEX('Input|Rate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282.16477189413831</v>
      </c>
      <c r="P13" s="181">
        <f>IF(P11="",0,'Calc|Opex forecast_final'!P100*IF('Calc|Opex forecast_final'!$F$100="nominal",LOOKUP($F13,Nominal_to_Real,'Input|Rate of change_final'!V$25:V$30),INDEX('Input|Rate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284.34607986966682</v>
      </c>
      <c r="Q13" s="181">
        <f>IF(Q11="",0,'Calc|Opex forecast_final'!Q100*IF('Calc|Opex forecast_final'!$F$100="nominal",LOOKUP($F13,Nominal_to_Real,'Input|Rate of change_final'!W$25:W$30),INDEX('Input|Rate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286.97963549153133</v>
      </c>
      <c r="R13" s="181">
        <f>IF(R11="",0,'Calc|Opex forecast_final'!R100*IF('Calc|Opex forecast_final'!$F$100="nominal",LOOKUP($F13,Nominal_to_Real,'Input|Rate of change_final'!X$25:X$30),INDEX('Input|Rate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288.75456631129032</v>
      </c>
      <c r="S13" s="181">
        <f>IF(S11="",0,'Calc|Opex forecast_final'!S100*IF('Calc|Opex forecast_final'!$F$100="nominal",LOOKUP($F13,Nominal_to_Real,'Input|Rate of change_final'!Y$25:Y$30),INDEX('Input|Rate of change_final'!$C$14:$O$21,MATCH('Calc|Opex forecast_final'!$F$100,'Input|Rate of change_final'!$C$14:$C$21,0),MATCH('Output|Models_final'!$F13,'Input|Rate of change_final'!$C$14:$O$14,0)))*IF('Calc|Opex forecast_final'!$E$100="$millions",1000000,IF('Calc|Opex forecast_final'!$E$100="$000",1000,1))/IF($E13="$millions",1000000,IF($E13="$000",1000,1)))</f>
        <v>290.46035761050263</v>
      </c>
      <c r="T13" s="111"/>
      <c r="U13" s="152"/>
    </row>
    <row r="14" spans="1:26">
      <c r="C14" s="111">
        <f>'Input|Step changes'!C29</f>
        <v>0</v>
      </c>
      <c r="D14" s="34" t="s">
        <v>111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1">
        <f>IF(J$11="",0,'Calc|Opex forecast_final'!J90*IF('Calc|Opex forecast_final'!$F90="nominal",LOOKUP($F14,Nominal_to_Real,'Input|Rate of change_final'!P$25:P$30),INDEX('Input|Rate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K14" s="181">
        <f>IF(K$11="",0,'Calc|Opex forecast_final'!K90*IF('Calc|Opex forecast_final'!$F90="nominal",LOOKUP($F14,Nominal_to_Real,'Input|Rate of change_final'!Q$25:Q$30),INDEX('Input|Rate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L14" s="181">
        <f>IF(L$11="",0,'Calc|Opex forecast_final'!L90*IF('Calc|Opex forecast_final'!$F90="nominal",LOOKUP($F14,Nominal_to_Real,'Input|Rate of change_final'!R$25:R$30),INDEX('Input|Rate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M14" s="181">
        <f>IF(M$11="",0,'Calc|Opex forecast_final'!M90*IF('Calc|Opex forecast_final'!$F90="nominal",LOOKUP($F14,Nominal_to_Real,'Input|Rate of change_final'!S$25:S$30),INDEX('Input|Rate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N14" s="181">
        <f>IF(N$11="",0,'Calc|Opex forecast_final'!N90*IF('Calc|Opex forecast_final'!$F90="nominal",LOOKUP($F14,Nominal_to_Real,'Input|Rate of change_final'!T$25:T$30),INDEX('Input|Rate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O14" s="181">
        <f>IF(O$11="",0,'Calc|Opex forecast_final'!O90*IF('Calc|Opex forecast_final'!$F90="nominal",LOOKUP($F14,Nominal_to_Real,'Input|Rate of change_final'!U$25:U$30),INDEX('Input|Rate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P14" s="181">
        <f>IF(P$11="",0,'Calc|Opex forecast_final'!P90*IF('Calc|Opex forecast_final'!$F90="nominal",LOOKUP($F14,Nominal_to_Real,'Input|Rate of change_final'!V$25:V$30),INDEX('Input|Rate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Q14" s="181">
        <f>IF(Q$11="",0,'Calc|Opex forecast_final'!Q90*IF('Calc|Opex forecast_final'!$F90="nominal",LOOKUP($F14,Nominal_to_Real,'Input|Rate of change_final'!W$25:W$30),INDEX('Input|Rate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R14" s="181">
        <f>IF(R$11="",0,'Calc|Opex forecast_final'!R90*IF('Calc|Opex forecast_final'!$F90="nominal",LOOKUP($F14,Nominal_to_Real,'Input|Rate of change_final'!X$25:X$30),INDEX('Input|Rate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S14" s="181">
        <f>IF(S$11="",0,'Calc|Opex forecast_final'!S90*IF('Calc|Opex forecast_final'!$F90="nominal",LOOKUP($F14,Nominal_to_Real,'Input|Rate of change_final'!Y$25:Y$30),INDEX('Input|Rate of change_final'!$C$14:$O$21,MATCH('Calc|Opex forecast_final'!$F90,'Input|Rate of change_final'!$C$14:$C$21,0),MATCH('Output|Models_final'!$F14,'Input|Rate of change_final'!$C$14:$O$14,0)))*IF('Calc|Opex forecast_final'!$E90="$millions",1000000,IF('Calc|Opex forecast_final'!$E90="$000",1000,1))/IF($E14="$millions",1000000,IF($E14="$000",1000,1)))</f>
        <v>0</v>
      </c>
      <c r="T14" s="111"/>
      <c r="U14" s="152"/>
    </row>
    <row r="15" spans="1:26">
      <c r="C15" s="111">
        <f>'Input|Step changes'!C30</f>
        <v>0</v>
      </c>
      <c r="D15" s="34" t="s">
        <v>111</v>
      </c>
      <c r="E15" s="30" t="str">
        <f t="shared" si="0"/>
        <v>$millions</v>
      </c>
      <c r="F15" s="161">
        <f t="shared" si="1"/>
        <v>43983</v>
      </c>
      <c r="H15" s="32"/>
      <c r="I15" s="32"/>
      <c r="J15" s="181">
        <f>IF(J$11="",0,'Calc|Opex forecast_final'!J91*IF('Calc|Opex forecast_final'!$F91="nominal",LOOKUP($F15,Nominal_to_Real,'Input|Rate of change_final'!P$25:P$30),INDEX('Input|Rate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K15" s="181">
        <f>IF(K$11="",0,'Calc|Opex forecast_final'!K91*IF('Calc|Opex forecast_final'!$F91="nominal",LOOKUP($F15,Nominal_to_Real,'Input|Rate of change_final'!Q$25:Q$30),INDEX('Input|Rate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L15" s="181">
        <f>IF(L$11="",0,'Calc|Opex forecast_final'!L91*IF('Calc|Opex forecast_final'!$F91="nominal",LOOKUP($F15,Nominal_to_Real,'Input|Rate of change_final'!R$25:R$30),INDEX('Input|Rate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M15" s="181">
        <f>IF(M$11="",0,'Calc|Opex forecast_final'!M91*IF('Calc|Opex forecast_final'!$F91="nominal",LOOKUP($F15,Nominal_to_Real,'Input|Rate of change_final'!S$25:S$30),INDEX('Input|Rate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N15" s="181">
        <f>IF(N$11="",0,'Calc|Opex forecast_final'!N91*IF('Calc|Opex forecast_final'!$F91="nominal",LOOKUP($F15,Nominal_to_Real,'Input|Rate of change_final'!T$25:T$30),INDEX('Input|Rate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O15" s="181">
        <f>IF(O$11="",0,'Calc|Opex forecast_final'!O91*IF('Calc|Opex forecast_final'!$F91="nominal",LOOKUP($F15,Nominal_to_Real,'Input|Rate of change_final'!U$25:U$30),INDEX('Input|Rate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P15" s="181">
        <f>IF(P$11="",0,'Calc|Opex forecast_final'!P91*IF('Calc|Opex forecast_final'!$F91="nominal",LOOKUP($F15,Nominal_to_Real,'Input|Rate of change_final'!V$25:V$30),INDEX('Input|Rate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Q15" s="181">
        <f>IF(Q$11="",0,'Calc|Opex forecast_final'!Q91*IF('Calc|Opex forecast_final'!$F91="nominal",LOOKUP($F15,Nominal_to_Real,'Input|Rate of change_final'!W$25:W$30),INDEX('Input|Rate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R15" s="181">
        <f>IF(R$11="",0,'Calc|Opex forecast_final'!R91*IF('Calc|Opex forecast_final'!$F91="nominal",LOOKUP($F15,Nominal_to_Real,'Input|Rate of change_final'!X$25:X$30),INDEX('Input|Rate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S15" s="181">
        <f>IF(S$11="",0,'Calc|Opex forecast_final'!S91*IF('Calc|Opex forecast_final'!$F91="nominal",LOOKUP($F15,Nominal_to_Real,'Input|Rate of change_final'!Y$25:Y$30),INDEX('Input|Rate of change_final'!$C$14:$O$21,MATCH('Calc|Opex forecast_final'!$F91,'Input|Rate of change_final'!$C$14:$C$21,0),MATCH('Output|Models_final'!$F15,'Input|Rate of change_final'!$C$14:$O$14,0)))*IF('Calc|Opex forecast_final'!$E91="$millions",1000000,IF('Calc|Opex forecast_final'!$E91="$000",1000,1))/IF($E15="$millions",1000000,IF($E15="$000",1000,1)))</f>
        <v>0</v>
      </c>
      <c r="T15" s="111"/>
      <c r="U15" s="152"/>
    </row>
    <row r="16" spans="1:26">
      <c r="C16" s="111">
        <f>'Input|Step changes'!C31</f>
        <v>0</v>
      </c>
      <c r="D16" s="34" t="s">
        <v>111</v>
      </c>
      <c r="E16" s="30" t="str">
        <f t="shared" si="0"/>
        <v>$millions</v>
      </c>
      <c r="F16" s="161">
        <f t="shared" si="1"/>
        <v>43983</v>
      </c>
      <c r="H16" s="32"/>
      <c r="I16" s="32"/>
      <c r="J16" s="181">
        <f>IF(J$11="",0,'Calc|Opex forecast_final'!J92*IF('Calc|Opex forecast_final'!$F92="nominal",LOOKUP($F16,Nominal_to_Real,'Input|Rate of change_final'!P$25:P$30),INDEX('Input|Rate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K16" s="181">
        <f>IF(K$11="",0,'Calc|Opex forecast_final'!K92*IF('Calc|Opex forecast_final'!$F92="nominal",LOOKUP($F16,Nominal_to_Real,'Input|Rate of change_final'!Q$25:Q$30),INDEX('Input|Rate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L16" s="181">
        <f>IF(L$11="",0,'Calc|Opex forecast_final'!L92*IF('Calc|Opex forecast_final'!$F92="nominal",LOOKUP($F16,Nominal_to_Real,'Input|Rate of change_final'!R$25:R$30),INDEX('Input|Rate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M16" s="181">
        <f>IF(M$11="",0,'Calc|Opex forecast_final'!M92*IF('Calc|Opex forecast_final'!$F92="nominal",LOOKUP($F16,Nominal_to_Real,'Input|Rate of change_final'!S$25:S$30),INDEX('Input|Rate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N16" s="181">
        <f>IF(N$11="",0,'Calc|Opex forecast_final'!N92*IF('Calc|Opex forecast_final'!$F92="nominal",LOOKUP($F16,Nominal_to_Real,'Input|Rate of change_final'!T$25:T$30),INDEX('Input|Rate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O16" s="181">
        <f>IF(O$11="",0,'Calc|Opex forecast_final'!O92*IF('Calc|Opex forecast_final'!$F92="nominal",LOOKUP($F16,Nominal_to_Real,'Input|Rate of change_final'!U$25:U$30),INDEX('Input|Rate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P16" s="181">
        <f>IF(P$11="",0,'Calc|Opex forecast_final'!P92*IF('Calc|Opex forecast_final'!$F92="nominal",LOOKUP($F16,Nominal_to_Real,'Input|Rate of change_final'!V$25:V$30),INDEX('Input|Rate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Q16" s="181">
        <f>IF(Q$11="",0,'Calc|Opex forecast_final'!Q92*IF('Calc|Opex forecast_final'!$F92="nominal",LOOKUP($F16,Nominal_to_Real,'Input|Rate of change_final'!W$25:W$30),INDEX('Input|Rate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R16" s="181">
        <f>IF(R$11="",0,'Calc|Opex forecast_final'!R92*IF('Calc|Opex forecast_final'!$F92="nominal",LOOKUP($F16,Nominal_to_Real,'Input|Rate of change_final'!X$25:X$30),INDEX('Input|Rate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S16" s="181">
        <f>IF(S$11="",0,'Calc|Opex forecast_final'!S92*IF('Calc|Opex forecast_final'!$F92="nominal",LOOKUP($F16,Nominal_to_Real,'Input|Rate of change_final'!Y$25:Y$30),INDEX('Input|Rate of change_final'!$C$14:$O$21,MATCH('Calc|Opex forecast_final'!$F92,'Input|Rate of change_final'!$C$14:$C$21,0),MATCH('Output|Models_final'!$F16,'Input|Rate of change_final'!$C$14:$O$14,0)))*IF('Calc|Opex forecast_final'!$E92="$millions",1000000,IF('Calc|Opex forecast_final'!$E92="$000",1000,1))/IF($E16="$millions",1000000,IF($E16="$000",1000,1)))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7"/>
  <sheetViews>
    <sheetView showGridLines="0" workbookViewId="0">
      <selection activeCell="H61" sqref="H6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Index!$C$16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75</v>
      </c>
      <c r="E10" s="16"/>
      <c r="F10" s="16"/>
      <c r="G10" s="52" t="s">
        <v>12</v>
      </c>
    </row>
    <row r="11" spans="1:47">
      <c r="C11" s="15" t="s">
        <v>13</v>
      </c>
      <c r="D11" s="16" t="s">
        <v>75</v>
      </c>
      <c r="E11" s="16"/>
      <c r="F11" s="16"/>
      <c r="G11" s="52" t="s">
        <v>20</v>
      </c>
    </row>
    <row r="12" spans="1:47">
      <c r="C12" s="15" t="s">
        <v>14</v>
      </c>
      <c r="D12" s="16" t="s">
        <v>75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75</v>
      </c>
      <c r="E14" s="16"/>
      <c r="F14" s="16"/>
      <c r="G14" s="52" t="s">
        <v>31</v>
      </c>
    </row>
    <row r="15" spans="1:47">
      <c r="C15" s="15" t="s">
        <v>8</v>
      </c>
      <c r="D15" s="16" t="s">
        <v>75</v>
      </c>
      <c r="E15" s="16"/>
      <c r="F15" s="16"/>
      <c r="G15" s="52" t="s">
        <v>11</v>
      </c>
    </row>
    <row r="16" spans="1:47">
      <c r="C16" s="15" t="s">
        <v>17</v>
      </c>
      <c r="D16" s="16" t="s">
        <v>75</v>
      </c>
      <c r="E16" s="16"/>
      <c r="F16" s="16"/>
      <c r="G16" s="52" t="s">
        <v>18</v>
      </c>
    </row>
    <row r="17" spans="1:47">
      <c r="C17" s="15" t="s">
        <v>37</v>
      </c>
      <c r="D17" s="16" t="s">
        <v>75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75</v>
      </c>
      <c r="E19" s="16"/>
      <c r="F19" s="16"/>
      <c r="G19" s="52" t="s">
        <v>23</v>
      </c>
    </row>
    <row r="20" spans="1:47">
      <c r="C20" s="15" t="s">
        <v>80</v>
      </c>
      <c r="D20" s="16" t="s">
        <v>75</v>
      </c>
      <c r="E20" s="16"/>
      <c r="F20" s="16"/>
      <c r="G20" s="52" t="s">
        <v>80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134</v>
      </c>
      <c r="D25" s="16" t="s">
        <v>75</v>
      </c>
      <c r="E25" s="16"/>
      <c r="F25" s="16"/>
      <c r="G25" s="154">
        <v>36526</v>
      </c>
      <c r="H25" s="14"/>
    </row>
    <row r="26" spans="1:47">
      <c r="C26" s="15" t="s">
        <v>135</v>
      </c>
      <c r="D26" s="16" t="s">
        <v>75</v>
      </c>
      <c r="E26" s="16"/>
      <c r="F26" s="16"/>
      <c r="G26" s="154">
        <v>36557</v>
      </c>
      <c r="H26" s="14"/>
    </row>
    <row r="27" spans="1:47">
      <c r="C27" s="15" t="s">
        <v>136</v>
      </c>
      <c r="D27" s="16" t="s">
        <v>75</v>
      </c>
      <c r="E27" s="16"/>
      <c r="F27" s="16"/>
      <c r="G27" s="154">
        <v>36586</v>
      </c>
      <c r="H27" s="14"/>
    </row>
    <row r="28" spans="1:47">
      <c r="C28" s="15" t="s">
        <v>137</v>
      </c>
      <c r="D28" s="16" t="s">
        <v>75</v>
      </c>
      <c r="E28" s="16"/>
      <c r="F28" s="16"/>
      <c r="G28" s="154">
        <v>36617</v>
      </c>
    </row>
    <row r="29" spans="1:47">
      <c r="C29" s="15" t="s">
        <v>138</v>
      </c>
      <c r="D29" s="16" t="s">
        <v>75</v>
      </c>
      <c r="E29" s="16"/>
      <c r="F29" s="16"/>
      <c r="G29" s="154">
        <v>36647</v>
      </c>
    </row>
    <row r="30" spans="1:47">
      <c r="C30" s="15" t="s">
        <v>139</v>
      </c>
      <c r="D30" s="16" t="s">
        <v>75</v>
      </c>
      <c r="E30" s="16"/>
      <c r="F30" s="16"/>
      <c r="G30" s="154">
        <v>36678</v>
      </c>
      <c r="T30" s="17"/>
    </row>
    <row r="31" spans="1:47">
      <c r="C31" s="15" t="s">
        <v>140</v>
      </c>
      <c r="D31" s="16" t="s">
        <v>75</v>
      </c>
      <c r="E31" s="16"/>
      <c r="F31" s="16"/>
      <c r="G31" s="154">
        <v>36708</v>
      </c>
      <c r="T31" s="17"/>
    </row>
    <row r="32" spans="1:47">
      <c r="C32" s="15" t="s">
        <v>141</v>
      </c>
      <c r="D32" s="16" t="s">
        <v>75</v>
      </c>
      <c r="E32" s="16"/>
      <c r="F32" s="16"/>
      <c r="G32" s="154">
        <v>36739</v>
      </c>
      <c r="T32" s="17"/>
    </row>
    <row r="33" spans="1:47">
      <c r="C33" s="15" t="s">
        <v>142</v>
      </c>
      <c r="D33" s="16" t="s">
        <v>75</v>
      </c>
      <c r="E33" s="16"/>
      <c r="F33" s="16"/>
      <c r="G33" s="154">
        <v>36770</v>
      </c>
      <c r="T33" s="17"/>
    </row>
    <row r="34" spans="1:47">
      <c r="C34" s="15" t="s">
        <v>143</v>
      </c>
      <c r="D34" s="16" t="s">
        <v>75</v>
      </c>
      <c r="E34" s="16"/>
      <c r="F34" s="16"/>
      <c r="G34" s="154">
        <v>36800</v>
      </c>
      <c r="T34" s="17"/>
    </row>
    <row r="35" spans="1:47">
      <c r="C35" s="15" t="s">
        <v>144</v>
      </c>
      <c r="D35" s="16" t="s">
        <v>75</v>
      </c>
      <c r="E35" s="16"/>
      <c r="F35" s="16"/>
      <c r="G35" s="154">
        <v>36831</v>
      </c>
      <c r="T35" s="17"/>
    </row>
    <row r="36" spans="1:47">
      <c r="C36" s="15" t="s">
        <v>145</v>
      </c>
      <c r="D36" s="16" t="s">
        <v>75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76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168</v>
      </c>
      <c r="H40" s="14" t="s">
        <v>166</v>
      </c>
      <c r="I40" s="14" t="s">
        <v>167</v>
      </c>
    </row>
    <row r="41" spans="1:47">
      <c r="C41" s="160">
        <v>40695</v>
      </c>
      <c r="D41" s="16" t="s">
        <v>75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75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75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75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75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75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75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75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75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75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75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75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75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75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75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75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75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75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75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75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>
      <c r="H61" s="8" t="s">
        <v>107</v>
      </c>
    </row>
    <row r="62" spans="1:47" customFormat="1" ht="12.75">
      <c r="A62" s="43"/>
      <c r="B62" s="51" t="s">
        <v>164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165</v>
      </c>
      <c r="H64" s="14" t="s">
        <v>132</v>
      </c>
    </row>
    <row r="65" spans="1:47">
      <c r="C65" s="15" t="s">
        <v>152</v>
      </c>
      <c r="D65" s="16" t="s">
        <v>105</v>
      </c>
      <c r="E65" s="16"/>
      <c r="F65" s="16"/>
      <c r="G65" s="184" t="str">
        <f>IF(MONTH('Input|General'!$G$9)=12,PPFirstYear,PPFirstYear-1&amp;"–"&amp;RIGHT(PPFirstYear,2))</f>
        <v>2015–16</v>
      </c>
      <c r="H65" s="186">
        <f>DATE(PPFirstYear,MONTH('Input|General'!$G$9),1)</f>
        <v>42522</v>
      </c>
    </row>
    <row r="66" spans="1:47">
      <c r="C66" s="15" t="s">
        <v>153</v>
      </c>
      <c r="D66" s="16" t="s">
        <v>105</v>
      </c>
      <c r="E66" s="16"/>
      <c r="F66" s="16"/>
      <c r="G66" s="185" t="str">
        <f>IF(PPLastYear-PPFirstYear&lt;1,"",LEFT(G65,4)+1&amp;"–"&amp;RIGHT(G65,2)+1)</f>
        <v>2016–17</v>
      </c>
      <c r="H66" s="186">
        <f>IF(PPLastYear-PPFirstYear&lt;1,"",DATE(PPFirstYear+1,MONTH('Input|General'!$G$9),1))</f>
        <v>42887</v>
      </c>
    </row>
    <row r="67" spans="1:47">
      <c r="C67" s="15" t="s">
        <v>154</v>
      </c>
      <c r="D67" s="16" t="s">
        <v>105</v>
      </c>
      <c r="E67" s="16"/>
      <c r="F67" s="16"/>
      <c r="G67" s="185" t="str">
        <f>IF(PPLastYear-PPFirstYear&lt;2,"",LEFT(G66,4)+1&amp;"–"&amp;RIGHT(G66,2)+1)</f>
        <v>2017–18</v>
      </c>
      <c r="H67" s="186">
        <f>IF(PPLastYear-PPFirstYear&lt;2,"",DATE(PPFirstYear+2,MONTH('Input|General'!$G$9),1))</f>
        <v>43252</v>
      </c>
    </row>
    <row r="68" spans="1:47">
      <c r="C68" s="15" t="s">
        <v>155</v>
      </c>
      <c r="D68" s="16" t="s">
        <v>105</v>
      </c>
      <c r="E68" s="16"/>
      <c r="F68" s="16"/>
      <c r="G68" s="185" t="str">
        <f>IF(PPLastYear-PPFirstYear&lt;3,"",LEFT(G67,4)+1&amp;"–"&amp;RIGHT(G67,2)+1)</f>
        <v>2018–19</v>
      </c>
      <c r="H68" s="186">
        <f>IF(PPLastYear-PPFirstYear&lt;3,"",DATE(PPFirstYear+3,MONTH('Input|General'!$G$9),1))</f>
        <v>43617</v>
      </c>
    </row>
    <row r="69" spans="1:47">
      <c r="C69" s="15" t="s">
        <v>156</v>
      </c>
      <c r="D69" s="16" t="s">
        <v>105</v>
      </c>
      <c r="E69" s="16"/>
      <c r="F69" s="16"/>
      <c r="G69" s="185" t="str">
        <f>IF(PPLastYear-PPFirstYear&lt;4,"",LEFT(G68,4)+1&amp;"–"&amp;RIGHT(G68,2)+1)</f>
        <v>2019–20</v>
      </c>
      <c r="H69" s="186">
        <f>IF(PPLastYear-PPFirstYear&lt;4,"",DATE(PPFirstYear+4,MONTH('Input|General'!$G$9),1))</f>
        <v>43983</v>
      </c>
    </row>
    <row r="70" spans="1:47">
      <c r="C70" s="15" t="s">
        <v>157</v>
      </c>
      <c r="D70" s="16" t="s">
        <v>105</v>
      </c>
      <c r="E70" s="16"/>
      <c r="F70" s="16"/>
      <c r="G70" s="185" t="str">
        <f>IF(MONTH('Input|General'!$G$9)=12,FPFirstYear,FPFirstYear-1&amp;"–"&amp;RIGHT(FPFirstYear,2))</f>
        <v>2020–21</v>
      </c>
      <c r="H70" s="186">
        <f>DATE(FPFirstYear,MONTH('Input|General'!$G$9),1)</f>
        <v>44348</v>
      </c>
      <c r="T70" s="17"/>
    </row>
    <row r="71" spans="1:47">
      <c r="C71" s="15" t="s">
        <v>158</v>
      </c>
      <c r="D71" s="16" t="s">
        <v>105</v>
      </c>
      <c r="E71" s="16"/>
      <c r="F71" s="16"/>
      <c r="G71" s="185" t="str">
        <f>IF(FPLastYear-FPFirstYear&lt;1,"",LEFT(G70,4)+1&amp;"–"&amp;RIGHT(G70,2)+1)</f>
        <v>2021–22</v>
      </c>
      <c r="H71" s="186">
        <f>IF(FPLastYear-FPFirstYear&lt;1,"",DATE(FPFirstYear+1,MONTH('Input|General'!$G$9),1))</f>
        <v>44713</v>
      </c>
      <c r="T71" s="17"/>
    </row>
    <row r="72" spans="1:47">
      <c r="C72" s="15" t="s">
        <v>159</v>
      </c>
      <c r="D72" s="16" t="s">
        <v>105</v>
      </c>
      <c r="E72" s="16"/>
      <c r="F72" s="16"/>
      <c r="G72" s="185" t="str">
        <f>IF(FPLastYear-FPFirstYear&lt;2,"",LEFT(G71,4)+1&amp;"–"&amp;RIGHT(G71,2)+1)</f>
        <v>2022–23</v>
      </c>
      <c r="H72" s="186">
        <f>IF(FPLastYear-FPFirstYear&lt;2,"",DATE(FPFirstYear+2,MONTH('Input|General'!$G$9),1))</f>
        <v>45078</v>
      </c>
      <c r="T72" s="17"/>
    </row>
    <row r="73" spans="1:47">
      <c r="C73" s="15" t="s">
        <v>160</v>
      </c>
      <c r="D73" s="16" t="s">
        <v>105</v>
      </c>
      <c r="E73" s="16"/>
      <c r="F73" s="16"/>
      <c r="G73" s="185" t="str">
        <f>IF(FPLastYear-FPFirstYear&lt;3,"",LEFT(G72,4)+1&amp;"–"&amp;RIGHT(G72,2)+1)</f>
        <v>2023–24</v>
      </c>
      <c r="H73" s="186">
        <f>IF(FPLastYear-FPFirstYear&lt;3,"",DATE(FPFirstYear+3,MONTH('Input|General'!$G$9),1))</f>
        <v>45444</v>
      </c>
      <c r="T73" s="17"/>
    </row>
    <row r="74" spans="1:47">
      <c r="C74" s="15" t="s">
        <v>161</v>
      </c>
      <c r="D74" s="16" t="s">
        <v>105</v>
      </c>
      <c r="E74" s="16"/>
      <c r="F74" s="16"/>
      <c r="G74" s="185" t="str">
        <f>IF(FPLastYear-FPFirstYear&lt;4,"",LEFT(G73,4)+1&amp;"–"&amp;RIGHT(G73,2)+1)</f>
        <v>2024–25</v>
      </c>
      <c r="H74" s="186">
        <f>IF(FPLastYear-FPFirstYear&lt;4,"",DATE(FPFirstYear+4,MONTH('Input|General'!$G$9),1))</f>
        <v>45809</v>
      </c>
      <c r="T74" s="17"/>
    </row>
    <row r="75" spans="1:47">
      <c r="C75" s="15"/>
      <c r="D75" s="16"/>
      <c r="E75" s="16"/>
      <c r="F75" s="16"/>
      <c r="G75" s="213"/>
      <c r="H75" s="214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165</v>
      </c>
      <c r="H78" s="215"/>
    </row>
    <row r="79" spans="1:47">
      <c r="C79" s="15" t="s">
        <v>204</v>
      </c>
      <c r="D79" s="16" t="s">
        <v>75</v>
      </c>
      <c r="E79" s="16"/>
      <c r="F79" s="16"/>
      <c r="G79" s="184" t="s">
        <v>114</v>
      </c>
      <c r="H79" s="214"/>
    </row>
    <row r="80" spans="1:47">
      <c r="C80" s="15" t="s">
        <v>205</v>
      </c>
      <c r="D80" s="16" t="s">
        <v>75</v>
      </c>
      <c r="E80" s="16"/>
      <c r="F80" s="16"/>
      <c r="G80" s="185" t="s">
        <v>206</v>
      </c>
      <c r="H80" s="214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idden="1"/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F17" sqref="F1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IF(COUNTIF(G10:G17,"Check")=0,"Ok","Check")</f>
        <v>Ok</v>
      </c>
      <c r="U1" s="39"/>
      <c r="V1" s="40"/>
    </row>
    <row r="2" spans="1:47" s="38" customFormat="1" ht="12.75">
      <c r="B2" s="53" t="str">
        <f>Index!$C$17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7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change_final'!T1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forecast_final'!S1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'Output|Models_final'!S1</f>
        <v>n/a</v>
      </c>
      <c r="H16" s="16"/>
      <c r="T16" s="17"/>
    </row>
    <row r="17" spans="1:47">
      <c r="C17" s="15" t="str">
        <f>Index!C14</f>
        <v>Output | Decision tables</v>
      </c>
      <c r="D17" s="34" t="str">
        <f t="shared" si="0"/>
        <v>Output | Decision tables</v>
      </c>
      <c r="E17" s="16" t="s">
        <v>28</v>
      </c>
      <c r="G17" s="18" t="s">
        <v>36</v>
      </c>
    </row>
    <row r="18" spans="1:47">
      <c r="C18" s="15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7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7" location="'Output|Decision tables'!A1" display="'Output|Decision table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change_final</vt:lpstr>
      <vt:lpstr>Input|Step changes</vt:lpstr>
      <vt:lpstr>Calc|Opex forecast_final</vt:lpstr>
      <vt:lpstr>Output|Models_final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Ahn, Aesop</cp:lastModifiedBy>
  <dcterms:created xsi:type="dcterms:W3CDTF">2020-04-15T02:05:25Z</dcterms:created>
  <dcterms:modified xsi:type="dcterms:W3CDTF">2020-05-27T04:05:58Z</dcterms:modified>
</cp:coreProperties>
</file>