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Capex team 2020 - Electricity resets\EQSA CESS\"/>
    </mc:Choice>
  </mc:AlternateContent>
  <bookViews>
    <workbookView xWindow="25080" yWindow="-120" windowWidth="25440" windowHeight="15390" tabRatio="691" firstSheet="1" activeTab="3"/>
  </bookViews>
  <sheets>
    <sheet name="SAPN Changes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anscount" hidden="1">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3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comments1.xml><?xml version="1.0" encoding="utf-8"?>
<comments xmlns="http://schemas.openxmlformats.org/spreadsheetml/2006/main">
  <authors>
    <author>Author</author>
    <author>RG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<sst xmlns="http://schemas.openxmlformats.org/spreadsheetml/2006/main" count="225" uniqueCount="127">
  <si>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</si>
  <si>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</si>
  <si>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</si>
  <si>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</si>
  <si>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</si>
  <si>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</si>
  <si>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</si>
  <si>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</si>
  <si>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</si>
  <si>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</si>
  <si>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</si>
  <si>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</si>
  <si>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</si>
  <si>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</si>
  <si>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</si>
  <si>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</si>
  <si>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</si>
  <si>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</si>
  <si>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</si>
  <si>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</si>
  <si>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</si>
  <si>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</si>
  <si>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</si>
  <si>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</si>
  <si>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</si>
  <si>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</si>
  <si>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</si>
  <si>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</si>
  <si>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</si>
  <si>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</si>
  <si>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</si>
  <si>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</si>
  <si>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</si>
  <si>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</si>
  <si>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</si>
  <si>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</si>
  <si>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</si>
  <si>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</si>
  <si>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</si>
  <si>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</si>
  <si>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</si>
  <si>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</si>
  <si>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</si>
  <si>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</si>
  <si>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</si>
  <si>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</si>
  <si>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</si>
  <si>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</si>
  <si>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</si>
  <si>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</si>
  <si>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</si>
  <si>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</si>
  <si>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</si>
  <si>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</si>
  <si>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</si>
  <si>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</si>
  <si>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</si>
  <si>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</si>
  <si>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</si>
  <si>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</si>
  <si>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</si>
  <si>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</si>
  <si>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</si>
  <si>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</si>
  <si>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</si>
  <si>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</si>
  <si>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</si>
  <si>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</si>
  <si>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</si>
  <si>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</si>
  <si>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</si>
  <si>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</si>
  <si>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</si>
  <si>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</si>
  <si>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</si>
  <si>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</si>
  <si>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</si>
  <si>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</si>
  <si>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</si>
  <si>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</si>
  <si>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</si>
  <si>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</si>
  <si>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</si>
  <si>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</si>
  <si>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</si>
  <si>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</si>
  <si>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</si>
  <si>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</si>
  <si>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</si>
  <si>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</si>
  <si>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</si>
  <si>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</si>
  <si>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</si>
  <si>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</si>
  <si>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</si>
  <si>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</si>
  <si>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</si>
  <si>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</si>
  <si>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</si>
  <si>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</si>
  <si>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</si>
  <si>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SAPN</t>
  </si>
  <si>
    <t>2020-21</t>
  </si>
  <si>
    <t>No.</t>
  </si>
  <si>
    <t>Sheet</t>
  </si>
  <si>
    <t>Cell</t>
  </si>
  <si>
    <t>Content</t>
  </si>
  <si>
    <t>Notes</t>
  </si>
  <si>
    <t>SAPN Amendents</t>
  </si>
  <si>
    <t>Updated 2018/19 with actual Capex</t>
  </si>
  <si>
    <t>Updated 2019/20 forecast Capex</t>
  </si>
  <si>
    <t>Updated 2018/19 with actual CPI</t>
  </si>
  <si>
    <t>Updated 2019/20 forecast CPI</t>
  </si>
  <si>
    <t>L9, L14</t>
  </si>
  <si>
    <t>Updated with PTRM forecast CPI</t>
  </si>
  <si>
    <t>Updated with PTRM forecast WACC</t>
  </si>
  <si>
    <t>L21</t>
  </si>
  <si>
    <t>J8, J13</t>
  </si>
  <si>
    <t>K8, K13</t>
  </si>
  <si>
    <t>K18-21</t>
  </si>
  <si>
    <t>L18-21</t>
  </si>
  <si>
    <r>
      <t xml:space="preserve">Based on  RBA, </t>
    </r>
    <r>
      <rPr>
        <i/>
        <sz val="11"/>
        <color theme="1"/>
        <rFont val="Calibri"/>
        <family val="2"/>
        <scheme val="minor"/>
      </rPr>
      <t>Statement on Monetary policy</t>
    </r>
    <r>
      <rPr>
        <sz val="11"/>
        <color theme="1"/>
        <rFont val="Calibri"/>
        <family val="2"/>
        <scheme val="minor"/>
      </rPr>
      <t>, November 2019, Appendix</t>
    </r>
  </si>
  <si>
    <t>Updated to be consistent with RRP PTRM</t>
  </si>
  <si>
    <t>G15</t>
  </si>
  <si>
    <t>Updated 2018/19 to 'Actual'</t>
  </si>
  <si>
    <t>Final Decision</t>
  </si>
  <si>
    <t>DNSP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</si>
</sst>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0.000000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</cellStyleXfs>
  <cellXfs count="209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0" fontId="18" fillId="0" borderId="20" xfId="339" applyFont="1" applyBorder="1" applyAlignment="1">
      <alignment horizontal="center" vertical="center"/>
    </xf>
    <xf numFmtId="0" fontId="18" fillId="0" borderId="20" xfId="339" applyFont="1" applyBorder="1"/>
    <xf numFmtId="0" fontId="23" fillId="0" borderId="0" xfId="339"/>
    <xf numFmtId="0" fontId="23" fillId="0" borderId="0" xfId="339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194" fontId="91" fillId="3" borderId="0" xfId="0" applyNumberFormat="1" applyFont="1" applyFill="1" applyAlignment="1">
      <alignment vertical="center"/>
    </xf>
    <xf numFmtId="0" fontId="23" fillId="56" borderId="0" xfId="339" applyFill="1" applyAlignment="1">
      <alignment horizontal="left" vertical="center"/>
    </xf>
    <xf numFmtId="0" fontId="23" fillId="56" borderId="0" xfId="339" applyFill="1"/>
    <xf numFmtId="2" fontId="3" fillId="3" borderId="0" xfId="0" applyNumberFormat="1" applyFont="1" applyFill="1" applyAlignment="1">
      <alignment horizontal="center" vertical="center"/>
    </xf>
    <xf numFmtId="2" fontId="15" fillId="3" borderId="22" xfId="3" applyNumberFormat="1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</cellXfs>
  <cellStyles count="340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0 3" xfId="339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3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workbookViewId="0">
      <selection activeCell="B6" sqref="B6"/>
    </sheetView>
  </sheetViews>
  <sheetFormatPr defaultRowHeight="12.75"/>
  <cols>
    <col min="1" max="1" width="3.85546875" style="201" bestFit="1" customWidth="1"/>
    <col min="2" max="2" width="25.7109375" style="200" bestFit="1" customWidth="1"/>
    <col min="3" max="3" width="14.85546875" style="200" bestFit="1" customWidth="1"/>
    <col min="4" max="4" width="94.7109375" style="200" customWidth="1"/>
    <col min="5" max="16384" width="9.140625" style="200"/>
  </cols>
  <sheetData>
    <row r="1" spans="1:5">
      <c r="A1" s="198" t="s">
        <v>103</v>
      </c>
      <c r="B1" s="199" t="s">
        <v>104</v>
      </c>
      <c r="C1" s="199" t="s">
        <v>105</v>
      </c>
      <c r="D1" s="199" t="s">
        <v>106</v>
      </c>
      <c r="E1" s="199" t="s">
        <v>107</v>
      </c>
    </row>
    <row r="4" spans="1:5">
      <c r="A4" s="204" t="s">
        <v>108</v>
      </c>
      <c r="B4" s="205"/>
      <c r="C4" s="205"/>
      <c r="D4" s="205"/>
    </row>
    <row r="6" spans="1:5">
      <c r="B6" s="200" t="s">
        <v>35</v>
      </c>
      <c r="C6" s="200" t="s">
        <v>123</v>
      </c>
      <c r="D6" s="200" t="s">
        <v>124</v>
      </c>
    </row>
    <row r="8" spans="1:5">
      <c r="B8" s="200" t="s">
        <v>79</v>
      </c>
      <c r="C8" s="200" t="s">
        <v>117</v>
      </c>
      <c r="D8" s="200" t="s">
        <v>111</v>
      </c>
    </row>
    <row r="9" spans="1:5" ht="15">
      <c r="C9" s="200" t="s">
        <v>118</v>
      </c>
      <c r="D9" s="200" t="s">
        <v>112</v>
      </c>
      <c r="E9" s="200" t="s">
        <v>121</v>
      </c>
    </row>
    <row r="10" spans="1:5">
      <c r="C10" s="200" t="s">
        <v>113</v>
      </c>
      <c r="D10" s="200" t="s">
        <v>114</v>
      </c>
      <c r="E10" s="200" t="s">
        <v>122</v>
      </c>
    </row>
    <row r="11" spans="1:5">
      <c r="C11" s="200" t="s">
        <v>116</v>
      </c>
      <c r="D11" s="200" t="s">
        <v>115</v>
      </c>
      <c r="E11" s="200" t="s">
        <v>122</v>
      </c>
    </row>
    <row r="14" spans="1:5">
      <c r="B14" s="200" t="s">
        <v>55</v>
      </c>
      <c r="C14" s="200" t="s">
        <v>119</v>
      </c>
      <c r="D14" s="200" t="s">
        <v>109</v>
      </c>
    </row>
    <row r="15" spans="1:5">
      <c r="C15" s="200" t="s">
        <v>120</v>
      </c>
      <c r="D15" s="200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4" sqref="C4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SAPN 2021-25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G15" sqref="G15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SAPN 2021-25 Final Decision - Capital expenditure sharing scheme model</v>
      </c>
      <c r="F1" s="105"/>
      <c r="G1" s="106" t="s">
        <v>47</v>
      </c>
      <c r="H1" s="160" t="s">
        <v>48</v>
      </c>
      <c r="I1" s="165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1" t="s">
        <v>101</v>
      </c>
      <c r="J6" s="79"/>
      <c r="K6" s="79"/>
      <c r="L6" s="79"/>
      <c r="M6" s="79"/>
    </row>
    <row r="7" spans="1:13" s="70" customFormat="1" ht="11.25" customHeight="1">
      <c r="C7" s="69" t="s">
        <v>88</v>
      </c>
      <c r="D7" s="161" t="s">
        <v>125</v>
      </c>
      <c r="I7" s="79"/>
      <c r="J7" s="79"/>
      <c r="K7" s="79"/>
      <c r="L7" s="79"/>
    </row>
    <row r="8" spans="1:13" s="70" customFormat="1" ht="11.25" customHeight="1">
      <c r="C8" s="69" t="s">
        <v>89</v>
      </c>
      <c r="D8" s="161" t="s">
        <v>99</v>
      </c>
      <c r="J8" s="79"/>
      <c r="K8" s="79"/>
      <c r="L8" s="79"/>
      <c r="M8" s="79"/>
    </row>
    <row r="9" spans="1:13" s="70" customFormat="1" ht="11.25" customHeight="1">
      <c r="C9" s="192" t="s">
        <v>100</v>
      </c>
      <c r="D9" s="161" t="s">
        <v>102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87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91" t="str">
        <f t="shared" ref="D13:F13" si="0">IF(LEN(E13)&gt;4,CONCATENATE(LEFT(E13,4)-1&amp;"–"&amp;IF(RIGHT(E13,2)="00","99",IF(RIGHT(E13,2)-1&lt;10,"0","")&amp;RIGHT(E13,2)-1)),E13-1)</f>
        <v>2015–16</v>
      </c>
      <c r="E13" s="191" t="str">
        <f t="shared" si="0"/>
        <v>2016–17</v>
      </c>
      <c r="F13" s="191" t="str">
        <f t="shared" si="0"/>
        <v>2017–18</v>
      </c>
      <c r="G13" s="191" t="str">
        <f>IF(LEN(H13)&gt;4,CONCATENATE(LEFT(H13,4)-1&amp;"–"&amp;IF(RIGHT(H13,2)="00","99",IF(RIGHT(H13,2)-1&lt;10,"0","")&amp;RIGHT(H13,2)-1)),H13-1)</f>
        <v>2018–19</v>
      </c>
      <c r="H13" s="191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1" t="s">
        <v>8</v>
      </c>
      <c r="E14" s="161" t="s">
        <v>8</v>
      </c>
      <c r="F14" s="161" t="s">
        <v>8</v>
      </c>
      <c r="G14" s="161" t="s">
        <v>8</v>
      </c>
      <c r="H14" s="161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1" t="s">
        <v>7</v>
      </c>
      <c r="E15" s="161" t="s">
        <v>7</v>
      </c>
      <c r="F15" s="161" t="s">
        <v>7</v>
      </c>
      <c r="G15" s="161" t="s">
        <v>7</v>
      </c>
      <c r="H15" s="161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91" t="str">
        <f>D9</f>
        <v>2020-21</v>
      </c>
      <c r="E18" s="191" t="str">
        <f>IF(LEN(D18)&gt;4,CONCATENATE(LEFT(D18,4)+1&amp;"–"&amp;IF(RIGHT(D18,2)+1&gt;9,"","0")&amp;RIGHT(D18,2)+1),D18+1)</f>
        <v>2021–22</v>
      </c>
      <c r="F18" s="191" t="str">
        <f t="shared" ref="F18:H18" si="1">IF(LEN(E18)&gt;4,CONCATENATE(LEFT(E18,4)+1&amp;"–"&amp;IF(RIGHT(E18,2)+1&gt;9,"","0")&amp;RIGHT(E18,2)+1),E18+1)</f>
        <v>2022–23</v>
      </c>
      <c r="G18" s="191" t="str">
        <f t="shared" si="1"/>
        <v>2023–24</v>
      </c>
      <c r="H18" s="191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14"/>
  <sheetViews>
    <sheetView showGridLines="0" tabSelected="1" zoomScaleNormal="100" workbookViewId="0">
      <selection activeCell="L21" sqref="L21:P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SAPN 2021-25 Final Decision - Capital expenditure sharing scheme model</v>
      </c>
      <c r="D1" s="12"/>
      <c r="E1" s="12"/>
      <c r="F1" s="12"/>
      <c r="G1" s="105"/>
      <c r="H1" s="106" t="s">
        <v>47</v>
      </c>
      <c r="I1" s="160" t="s">
        <v>48</v>
      </c>
      <c r="J1" s="165" t="s">
        <v>36</v>
      </c>
      <c r="K1" s="156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8" t="str">
        <f>IF(LEN(G7)&gt;4,CONCATENATE(LEFT(G7,4)-1&amp;"–"&amp;IF(RIGHT(G7,2)="00","99",IF(RIGHT(G7,2)-1&lt;10,"0","")&amp;RIGHT(G7,2)-1)),G7-1)</f>
        <v>2014–15</v>
      </c>
      <c r="G7" s="177" t="str">
        <f>'Input | General'!D13</f>
        <v>2015–16</v>
      </c>
      <c r="H7" s="177" t="str">
        <f>'Input | General'!E13</f>
        <v>2016–17</v>
      </c>
      <c r="I7" s="177" t="str">
        <f>'Input | General'!F13</f>
        <v>2017–18</v>
      </c>
      <c r="J7" s="177" t="str">
        <f>'Input | General'!G13</f>
        <v>2018–19</v>
      </c>
      <c r="K7" s="177" t="str">
        <f>'Input | General'!H13</f>
        <v>2019–20</v>
      </c>
      <c r="L7" s="177" t="str">
        <f>'Input | General'!D18</f>
        <v>2020-21</v>
      </c>
      <c r="M7" s="177" t="str">
        <f>'Input | General'!E18</f>
        <v>2021–22</v>
      </c>
      <c r="N7" s="177" t="str">
        <f>'Input | General'!F18</f>
        <v>2022–23</v>
      </c>
      <c r="O7" s="177" t="str">
        <f>'Input | General'!G18</f>
        <v>2023–24</v>
      </c>
      <c r="P7" s="177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126</v>
      </c>
      <c r="E8" s="78" t="s">
        <v>51</v>
      </c>
      <c r="F8" s="78"/>
      <c r="G8" s="162">
        <v>1.6885553470919357E-2</v>
      </c>
      <c r="H8" s="162">
        <v>1.4760147601476037E-2</v>
      </c>
      <c r="I8" s="162">
        <v>1.9090909090909047E-2</v>
      </c>
      <c r="J8" s="162">
        <v>1.7841213202497874E-2</v>
      </c>
      <c r="K8" s="162">
        <v>1.7500000000000002E-2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126</v>
      </c>
      <c r="E9" s="78" t="s">
        <v>51</v>
      </c>
      <c r="F9" s="78"/>
      <c r="G9" s="130"/>
      <c r="H9" s="130"/>
      <c r="I9" s="130"/>
      <c r="J9" s="130"/>
      <c r="K9" s="130"/>
      <c r="L9" s="162">
        <v>2.3599999999999999E-2</v>
      </c>
      <c r="M9" s="143">
        <f t="shared" ref="M9:P9" si="0">L9</f>
        <v>2.3599999999999999E-2</v>
      </c>
      <c r="N9" s="143">
        <f t="shared" si="0"/>
        <v>2.3599999999999999E-2</v>
      </c>
      <c r="O9" s="143">
        <f t="shared" si="0"/>
        <v>2.3599999999999999E-2</v>
      </c>
      <c r="P9" s="143">
        <f t="shared" si="0"/>
        <v>2.3599999999999999E-2</v>
      </c>
    </row>
    <row r="10" spans="1:20" ht="11.25" customHeight="1">
      <c r="A10" s="11"/>
      <c r="B10" s="11"/>
      <c r="C10" s="140" t="str">
        <f>"CPI Index (base year "&amp;F7&amp;")"</f>
        <v>CPI Index (base year 2014–15)</v>
      </c>
      <c r="D10" s="78" t="s">
        <v>126</v>
      </c>
      <c r="E10" s="78" t="s">
        <v>30</v>
      </c>
      <c r="F10" s="138">
        <v>1</v>
      </c>
      <c r="G10" s="123">
        <f>IF(G7&lt;&gt;"",(F10*(1+G8)),"")</f>
        <v>1.0168855534709194</v>
      </c>
      <c r="H10" s="123">
        <f>IF(H7&lt;&gt;"",(G10*(1+H8)),"")</f>
        <v>1.0318949343339587</v>
      </c>
      <c r="I10" s="123">
        <f>IF(I7&lt;&gt;"",(H10*(1+I8)),"")</f>
        <v>1.0515947467166979</v>
      </c>
      <c r="J10" s="123">
        <f>IF(J7&lt;&gt;"",(I10*(1+J8)),"")</f>
        <v>1.0703564727954973</v>
      </c>
      <c r="K10" s="123">
        <f>IF(K7&lt;&gt;"",(J10*(1+K8)),"")</f>
        <v>1.0890877110694186</v>
      </c>
      <c r="L10" s="87">
        <f t="shared" ref="L10:P10" si="1">IF(L7&lt;&gt;"",(K10*(1+L9)),"")</f>
        <v>1.1147901810506569</v>
      </c>
      <c r="M10" s="87">
        <f t="shared" si="1"/>
        <v>1.1410992293234525</v>
      </c>
      <c r="N10" s="87">
        <f t="shared" si="1"/>
        <v>1.168029171135486</v>
      </c>
      <c r="O10" s="87">
        <f t="shared" si="1"/>
        <v>1.1955946595742835</v>
      </c>
      <c r="P10" s="87">
        <f t="shared" si="1"/>
        <v>1.2238106935402366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62">
        <v>1.6885553470919357E-2</v>
      </c>
      <c r="H13" s="162">
        <v>1.4760147601476037E-2</v>
      </c>
      <c r="I13" s="162">
        <v>1.9090909090909047E-2</v>
      </c>
      <c r="J13" s="162">
        <v>1.7841213202497874E-2</v>
      </c>
      <c r="K13" s="162">
        <v>1.84049079754602E-2</v>
      </c>
      <c r="L13" s="195"/>
      <c r="M13" s="127"/>
      <c r="N13" s="127"/>
      <c r="O13" s="127"/>
      <c r="P13" s="127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131"/>
      <c r="K14" s="131"/>
      <c r="L14" s="162">
        <v>2.2739900899011012E-2</v>
      </c>
      <c r="M14" s="143">
        <f t="shared" ref="M14:P14" si="2">L14</f>
        <v>2.2739900899011012E-2</v>
      </c>
      <c r="N14" s="143">
        <f t="shared" si="2"/>
        <v>2.2739900899011012E-2</v>
      </c>
      <c r="O14" s="143">
        <f t="shared" si="2"/>
        <v>2.2739900899011012E-2</v>
      </c>
      <c r="P14" s="143">
        <f t="shared" si="2"/>
        <v>2.2739900899011012E-2</v>
      </c>
    </row>
    <row r="15" spans="1:20" ht="11.25" customHeight="1">
      <c r="A15" s="11"/>
      <c r="B15" s="11"/>
      <c r="C15" s="140" t="str">
        <f>"CPI Index (base year "&amp;F7&amp;")"</f>
        <v>CPI Index (base year 2014–15)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1.0168855534709194</v>
      </c>
      <c r="H15" s="123">
        <f>IF(H7&lt;&gt;"",(G15*(1+H13)),"")</f>
        <v>1.0318949343339587</v>
      </c>
      <c r="I15" s="123">
        <f>IF(I7&lt;&gt;"",(H15*(1+I13)),"")</f>
        <v>1.0515947467166979</v>
      </c>
      <c r="J15" s="196">
        <f>IF(J7&lt;&gt;"",(I15*(1+J13)),"")</f>
        <v>1.0703564727954973</v>
      </c>
      <c r="K15" s="197">
        <f>IF(K7&lt;&gt;"",(J15*(1+K13)),"")</f>
        <v>1.0900562851782367</v>
      </c>
      <c r="L15" s="197">
        <f t="shared" ref="L15:P15" si="3">IF(L7&lt;&gt;"",(K15*(1+L14)),"")</f>
        <v>1.114844057077534</v>
      </c>
      <c r="M15" s="87">
        <f t="shared" si="3"/>
        <v>1.1401955004533284</v>
      </c>
      <c r="N15" s="87">
        <f t="shared" si="3"/>
        <v>1.1661234331391352</v>
      </c>
      <c r="O15" s="87">
        <f t="shared" si="3"/>
        <v>1.1926409644447338</v>
      </c>
      <c r="P15" s="87">
        <f t="shared" si="3"/>
        <v>1.219761501784308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7" t="str">
        <f>G7</f>
        <v>2015–16</v>
      </c>
      <c r="H19" s="177" t="str">
        <f t="shared" ref="H19:P19" si="4">H7</f>
        <v>2016–17</v>
      </c>
      <c r="I19" s="177" t="str">
        <f t="shared" si="4"/>
        <v>2017–18</v>
      </c>
      <c r="J19" s="177" t="str">
        <f t="shared" si="4"/>
        <v>2018–19</v>
      </c>
      <c r="K19" s="177" t="str">
        <f t="shared" si="4"/>
        <v>2019–20</v>
      </c>
      <c r="L19" s="177" t="str">
        <f t="shared" si="4"/>
        <v>2020-21</v>
      </c>
      <c r="M19" s="177" t="str">
        <f t="shared" si="4"/>
        <v>2021–22</v>
      </c>
      <c r="N19" s="177" t="str">
        <f t="shared" si="4"/>
        <v>2022–23</v>
      </c>
      <c r="O19" s="177" t="str">
        <f t="shared" si="4"/>
        <v>2023–24</v>
      </c>
      <c r="P19" s="177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2">
        <v>3.5785365853658657E-2</v>
      </c>
      <c r="H20" s="162">
        <v>3.5957465129583532E-2</v>
      </c>
      <c r="I20" s="162">
        <v>3.5857542041494161E-2</v>
      </c>
      <c r="J20" s="162">
        <v>3.5405100569807724E-2</v>
      </c>
      <c r="K20" s="162">
        <v>3.4982227087303253E-2</v>
      </c>
      <c r="L20" s="131"/>
      <c r="M20" s="131"/>
      <c r="N20" s="131"/>
      <c r="O20" s="131"/>
      <c r="P20" s="131"/>
    </row>
    <row r="21" spans="1:16" ht="11.25" customHeight="1">
      <c r="C21" s="155" t="s">
        <v>95</v>
      </c>
      <c r="D21" s="78" t="s">
        <v>49</v>
      </c>
      <c r="E21" s="78" t="s">
        <v>51</v>
      </c>
      <c r="F21" s="79"/>
      <c r="G21" s="194"/>
      <c r="H21" s="194"/>
      <c r="I21" s="194"/>
      <c r="J21" s="194"/>
      <c r="K21" s="194"/>
      <c r="L21" s="162">
        <v>2.4166123692419772E-2</v>
      </c>
      <c r="M21" s="162">
        <v>2.2562688127034568E-2</v>
      </c>
      <c r="N21" s="162">
        <v>2.0959252561649367E-2</v>
      </c>
      <c r="O21" s="162">
        <v>1.9355816996264166E-2</v>
      </c>
      <c r="P21" s="162">
        <v>1.7752381430879094E-2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4">
        <f>IF(AND(G13&lt;&gt;"",G20&lt;&gt;""),((1+G20)*(1+G13)-1),"")</f>
        <v>5.3275175033176358E-2</v>
      </c>
      <c r="H22" s="144">
        <f>IF(AND(H13&lt;&gt;"",H20&lt;&gt;""),((1+H20)*(1+H13)-1),"")</f>
        <v>5.1248350223747074E-2</v>
      </c>
      <c r="I22" s="144">
        <f>IF(AND(I13&lt;&gt;"",I20&lt;&gt;""),((1+I20)*(1+I13)-1),"")</f>
        <v>5.5633004207740866E-2</v>
      </c>
      <c r="J22" s="144">
        <f>IF(AND(J13&lt;&gt;"",J20&lt;&gt;""),((1+J20)*(1+J13)-1),"")</f>
        <v>5.3877983720027389E-2</v>
      </c>
      <c r="K22" s="144">
        <f>IF(AND(K13&lt;&gt;"",K20&lt;&gt;""),((1+K20)*(1+K13)-1),"")</f>
        <v>5.4030979733082019E-2</v>
      </c>
      <c r="L22" s="144">
        <f t="shared" ref="L22:P22" si="5">IF(AND(L14&lt;&gt;"",L21&lt;&gt;""),((1+L21)*(1+L14)-1),"")</f>
        <v>4.7455559849309603E-2</v>
      </c>
      <c r="M22" s="144">
        <f t="shared" si="5"/>
        <v>4.5815662318069661E-2</v>
      </c>
      <c r="N22" s="144">
        <f t="shared" si="5"/>
        <v>4.4175764786829497E-2</v>
      </c>
      <c r="O22" s="144">
        <f t="shared" si="5"/>
        <v>4.2535867255589555E-2</v>
      </c>
      <c r="P22" s="144">
        <f t="shared" si="5"/>
        <v>4.0895969724349834E-2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  <pageSetUpPr fitToPage="1"/>
  </sheetPr>
  <dimension ref="A1:W109"/>
  <sheetViews>
    <sheetView workbookViewId="0">
      <selection activeCell="E26" sqref="E26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SAPN 2021-25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60" t="s">
        <v>48</v>
      </c>
      <c r="K1" s="165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9" t="str">
        <f>IF('Input | General'!D14="Yes",'Input | General'!D13,"n/a")</f>
        <v>2015–16</v>
      </c>
      <c r="I6" s="179" t="str">
        <f>IF('Input | General'!E14="Yes",'Input | General'!E13,"n/a")</f>
        <v>2016–17</v>
      </c>
      <c r="J6" s="179" t="str">
        <f>IF('Input | General'!F14="Yes",'Input | General'!F13,"n/a")</f>
        <v>2017–18</v>
      </c>
      <c r="K6" s="179" t="str">
        <f>IF('Input | General'!G14="Yes",'Input | General'!G13,"n/a")</f>
        <v>2018–19</v>
      </c>
      <c r="L6" s="179" t="str">
        <f>IF('Input | General'!H14="Yes",'Input | General'!H13,"n/a")</f>
        <v>2019–20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2" t="str">
        <f>'Input | Inflation and Disc Rate'!$F$7</f>
        <v>2014–15</v>
      </c>
      <c r="G8" s="68"/>
      <c r="H8" s="163">
        <v>478.66213086227901</v>
      </c>
      <c r="I8" s="163">
        <v>482.98719684093334</v>
      </c>
      <c r="J8" s="163">
        <v>468.97564184857697</v>
      </c>
      <c r="K8" s="163">
        <v>467.77271592032622</v>
      </c>
      <c r="L8" s="163">
        <v>479.59167023837671</v>
      </c>
      <c r="M8" s="2"/>
      <c r="N8" s="2"/>
    </row>
    <row r="9" spans="2:14" ht="10.5" customHeight="1">
      <c r="C9" s="80" t="s">
        <v>97</v>
      </c>
      <c r="D9" s="78" t="s">
        <v>49</v>
      </c>
      <c r="E9" s="78" t="s">
        <v>50</v>
      </c>
      <c r="F9" s="182" t="str">
        <f>'Input | Inflation and Disc Rate'!$F$7</f>
        <v>2014–15</v>
      </c>
      <c r="G9" s="68"/>
      <c r="H9" s="163">
        <v>102.20626619658154</v>
      </c>
      <c r="I9" s="163">
        <v>102.51338166516814</v>
      </c>
      <c r="J9" s="163">
        <v>104.28484651384717</v>
      </c>
      <c r="K9" s="163">
        <v>109.00386115808681</v>
      </c>
      <c r="L9" s="163">
        <v>114.21796161755873</v>
      </c>
      <c r="M9" s="2"/>
      <c r="N9" s="2"/>
    </row>
    <row r="10" spans="2:14" ht="10.5" customHeight="1">
      <c r="C10" s="80" t="s">
        <v>91</v>
      </c>
      <c r="D10" s="78" t="s">
        <v>49</v>
      </c>
      <c r="E10" s="78" t="s">
        <v>50</v>
      </c>
      <c r="F10" s="182" t="str">
        <f>'Input | Inflation and Disc Rate'!$F$7</f>
        <v>2014–15</v>
      </c>
      <c r="G10" s="68"/>
      <c r="H10" s="163">
        <v>4.0218000000000007</v>
      </c>
      <c r="I10" s="163">
        <v>2.5949</v>
      </c>
      <c r="J10" s="163">
        <v>2.0002</v>
      </c>
      <c r="K10" s="163">
        <v>2.1311999999999998</v>
      </c>
      <c r="L10" s="163">
        <v>3.6551999999999998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80" t="s">
        <v>50</v>
      </c>
      <c r="F12" s="181" t="str">
        <f>'Input | Inflation and Disc Rate'!$F$7</f>
        <v>2014–15</v>
      </c>
      <c r="G12" s="68"/>
      <c r="H12" s="66">
        <f>IF(H6="", "", H8-H9-H10)</f>
        <v>372.43406466569752</v>
      </c>
      <c r="I12" s="66">
        <f t="shared" ref="I12:L12" si="0">IF(I6="", "", I8-I9-I10)</f>
        <v>377.8789151757652</v>
      </c>
      <c r="J12" s="66">
        <f t="shared" si="0"/>
        <v>362.69059533472978</v>
      </c>
      <c r="K12" s="66">
        <f t="shared" si="0"/>
        <v>356.63765476223944</v>
      </c>
      <c r="L12" s="66">
        <f t="shared" si="0"/>
        <v>361.718508620818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9" t="str">
        <f>H6</f>
        <v>2015–16</v>
      </c>
      <c r="I16" s="179" t="str">
        <f t="shared" ref="I16:L16" si="1">I6</f>
        <v>2016–17</v>
      </c>
      <c r="J16" s="179" t="str">
        <f t="shared" si="1"/>
        <v>2017–18</v>
      </c>
      <c r="K16" s="179" t="str">
        <f t="shared" si="1"/>
        <v>2018–19</v>
      </c>
      <c r="L16" s="179" t="str">
        <f t="shared" si="1"/>
        <v>2019–20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3">
        <v>293.33311039587932</v>
      </c>
      <c r="I18" s="163">
        <v>322.86768357005485</v>
      </c>
      <c r="J18" s="163">
        <v>420.04831076757552</v>
      </c>
      <c r="K18" s="163">
        <v>432.21551545110196</v>
      </c>
      <c r="L18" s="163">
        <v>440.0950956438582</v>
      </c>
    </row>
    <row r="19" spans="2:14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2"/>
      <c r="H19" s="164">
        <v>59.6340088888889</v>
      </c>
      <c r="I19" s="163">
        <v>52.883615956429601</v>
      </c>
      <c r="J19" s="163">
        <v>53.265040602741792</v>
      </c>
      <c r="K19" s="163">
        <v>62.150448280271078</v>
      </c>
      <c r="L19" s="163">
        <v>59.784279553505414</v>
      </c>
    </row>
    <row r="20" spans="2:14" s="2" customFormat="1" ht="10.5" customHeight="1">
      <c r="B20" s="73"/>
      <c r="C20" s="141" t="s">
        <v>91</v>
      </c>
      <c r="D20" s="78" t="s">
        <v>49</v>
      </c>
      <c r="E20" s="78" t="s">
        <v>50</v>
      </c>
      <c r="F20" s="78" t="s">
        <v>53</v>
      </c>
      <c r="G20" s="142"/>
      <c r="H20" s="164">
        <v>2.0414428099999999</v>
      </c>
      <c r="I20" s="163">
        <v>2.43455698</v>
      </c>
      <c r="J20" s="163">
        <v>2.54999639</v>
      </c>
      <c r="K20" s="163">
        <v>3.2414634500000008</v>
      </c>
      <c r="L20" s="163">
        <v>3.2414634500000008</v>
      </c>
    </row>
    <row r="21" spans="2:14" s="2" customFormat="1" ht="10.5" customHeight="1">
      <c r="B21" s="73"/>
      <c r="C21" s="157" t="s">
        <v>96</v>
      </c>
      <c r="D21" s="78" t="s">
        <v>49</v>
      </c>
      <c r="E21" s="78" t="s">
        <v>50</v>
      </c>
      <c r="F21" s="78" t="s">
        <v>53</v>
      </c>
      <c r="G21" s="68"/>
      <c r="H21" s="164">
        <v>0</v>
      </c>
      <c r="I21" s="163">
        <v>0</v>
      </c>
      <c r="J21" s="163">
        <v>0</v>
      </c>
      <c r="K21" s="163">
        <v>0</v>
      </c>
      <c r="L21" s="163"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203"/>
      <c r="M22" s="108"/>
      <c r="N22" s="108"/>
    </row>
    <row r="23" spans="2:14" s="2" customFormat="1" ht="10.5" customHeight="1">
      <c r="B23" s="73"/>
      <c r="C23" s="77" t="s">
        <v>76</v>
      </c>
      <c r="D23" s="76" t="s">
        <v>60</v>
      </c>
      <c r="E23" s="183" t="s">
        <v>50</v>
      </c>
      <c r="F23" s="183" t="s">
        <v>53</v>
      </c>
      <c r="G23" s="68"/>
      <c r="H23" s="66">
        <f>IF(H16="", "", H18-H19-H20-H21)</f>
        <v>231.65765869699041</v>
      </c>
      <c r="I23" s="66">
        <f t="shared" ref="I23:L23" si="2">IF(I16="", "", I18-I19-I20-I21)</f>
        <v>267.54951063362523</v>
      </c>
      <c r="J23" s="66">
        <f t="shared" si="2"/>
        <v>364.23327377483372</v>
      </c>
      <c r="K23" s="66">
        <f t="shared" si="2"/>
        <v>366.82360372083087</v>
      </c>
      <c r="L23" s="66">
        <f t="shared" si="2"/>
        <v>377.06935264035275</v>
      </c>
    </row>
    <row r="24" spans="2:14" s="2" customFormat="1" ht="10.5" customHeight="1">
      <c r="B24" s="73"/>
      <c r="D24" s="21"/>
      <c r="E24" s="21"/>
      <c r="F24" s="21"/>
      <c r="G24" s="21"/>
      <c r="K24" s="202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K26" s="206"/>
      <c r="M26" s="2"/>
      <c r="N26" s="2"/>
    </row>
    <row r="27" spans="2:14" ht="10.5" customHeight="1">
      <c r="D27" s="68"/>
      <c r="E27" s="68"/>
      <c r="F27" s="68"/>
      <c r="G27" s="68"/>
      <c r="H27" s="179" t="str">
        <f>'Input | General'!D18</f>
        <v>2020-21</v>
      </c>
      <c r="I27" s="179" t="str">
        <f>'Input | General'!E18</f>
        <v>2021–22</v>
      </c>
      <c r="J27" s="179" t="str">
        <f>'Input | General'!F18</f>
        <v>2022–23</v>
      </c>
      <c r="K27" s="179" t="str">
        <f>'Input | General'!G18</f>
        <v>2023–24</v>
      </c>
      <c r="L27" s="179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126</v>
      </c>
      <c r="E29" s="78" t="s">
        <v>50</v>
      </c>
      <c r="F29" s="78" t="s">
        <v>53</v>
      </c>
      <c r="G29" s="68"/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12" priority="27">
      <formula>IF($H$6&lt;&gt;"","FALSE","TRUE")</formula>
    </cfRule>
  </conditionalFormatting>
  <conditionalFormatting sqref="H18:J18">
    <cfRule type="expression" dxfId="11" priority="22">
      <formula>IF($H$6&lt;&gt;"","FALSE","TRUE")</formula>
    </cfRule>
  </conditionalFormatting>
  <conditionalFormatting sqref="H19:H20">
    <cfRule type="expression" dxfId="10" priority="17">
      <formula>IF($H$6&lt;&gt;"","FALSE","TRUE")</formula>
    </cfRule>
  </conditionalFormatting>
  <conditionalFormatting sqref="I10:L10">
    <cfRule type="expression" dxfId="9" priority="13">
      <formula>IF($H$6&lt;&gt;"","FALSE","TRUE")</formula>
    </cfRule>
  </conditionalFormatting>
  <conditionalFormatting sqref="I19:J20">
    <cfRule type="expression" dxfId="8" priority="12">
      <formula>IF($H$6&lt;&gt;"","FALSE","TRUE")</formula>
    </cfRule>
  </conditionalFormatting>
  <conditionalFormatting sqref="H29:L29">
    <cfRule type="expression" dxfId="7" priority="11">
      <formula>IF($H$6&lt;&gt;"","FALSE","TRUE")</formula>
    </cfRule>
  </conditionalFormatting>
  <conditionalFormatting sqref="H21">
    <cfRule type="expression" dxfId="6" priority="10">
      <formula>IF($H$6&lt;&gt;"","FALSE","TRUE")</formula>
    </cfRule>
  </conditionalFormatting>
  <conditionalFormatting sqref="I21:J21 L21">
    <cfRule type="expression" dxfId="5" priority="9">
      <formula>IF($H$6&lt;&gt;"","FALSE","TRUE")</formula>
    </cfRule>
  </conditionalFormatting>
  <conditionalFormatting sqref="L20">
    <cfRule type="expression" dxfId="4" priority="8">
      <formula>IF($H$6&lt;&gt;"","FALSE","TRUE")</formula>
    </cfRule>
  </conditionalFormatting>
  <conditionalFormatting sqref="L18:L19">
    <cfRule type="expression" dxfId="3" priority="7">
      <formula>IF($H$6&lt;&gt;"","FALSE","TRUE")</formula>
    </cfRule>
  </conditionalFormatting>
  <conditionalFormatting sqref="K21">
    <cfRule type="expression" dxfId="2" priority="3">
      <formula>IF($H$6&lt;&gt;"","FALSE","TRUE")</formula>
    </cfRule>
  </conditionalFormatting>
  <conditionalFormatting sqref="K20">
    <cfRule type="expression" dxfId="1" priority="2">
      <formula>IF($H$6&lt;&gt;"","FALSE","TRUE")</formula>
    </cfRule>
  </conditionalFormatting>
  <conditionalFormatting sqref="K18:K19">
    <cfRule type="expression" dxfId="0" priority="1">
      <formula>IF($H$6&lt;&gt;"","FALSE","TRUE")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D25" sqref="D25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SAPN 2021-25 Final Decision - Capital expenditure sharing scheme model</v>
      </c>
      <c r="J1" s="122"/>
      <c r="K1" s="106" t="s">
        <v>47</v>
      </c>
      <c r="L1" s="160" t="s">
        <v>48</v>
      </c>
      <c r="M1" s="165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9" t="str">
        <f>IF('Input | General'!D14="Yes",'Input | General'!D13,"n/a")</f>
        <v>2015–16</v>
      </c>
      <c r="E7" s="179" t="str">
        <f>IF('Input | General'!E14="Yes",'Input | General'!E13,"n/a")</f>
        <v>2016–17</v>
      </c>
      <c r="F7" s="179" t="str">
        <f>IF('Input | General'!F14="Yes",'Input | General'!F13,"n/a")</f>
        <v>2017–18</v>
      </c>
      <c r="G7" s="179" t="str">
        <f>IF('Input | General'!G14="Yes",'Input | General'!G13,"n/a")</f>
        <v>2018–19</v>
      </c>
      <c r="H7" s="184" t="str">
        <f>IF('Input | General'!H14="Yes",'Input | General'!H13,"n/a")</f>
        <v>2019–20</v>
      </c>
      <c r="I7" s="97"/>
    </row>
    <row r="8" spans="2:23" ht="11.25" customHeight="1">
      <c r="C8" s="145" t="s">
        <v>93</v>
      </c>
      <c r="D8" s="166">
        <f>'Input | Inflation and Disc Rate'!G20</f>
        <v>3.5785365853658657E-2</v>
      </c>
      <c r="E8" s="167">
        <f>'Input | Inflation and Disc Rate'!H20</f>
        <v>3.5957465129583532E-2</v>
      </c>
      <c r="F8" s="167">
        <f>'Input | Inflation and Disc Rate'!I20</f>
        <v>3.5857542041494161E-2</v>
      </c>
      <c r="G8" s="167">
        <f>'Input | Inflation and Disc Rate'!J20</f>
        <v>3.5405100569807724E-2</v>
      </c>
      <c r="H8" s="168">
        <f>'Input | Inflation and Disc Rate'!K20</f>
        <v>3.4982227087303253E-2</v>
      </c>
      <c r="I8" s="97"/>
      <c r="J8" s="79"/>
      <c r="K8" s="79"/>
    </row>
    <row r="9" spans="2:23" ht="11.25" customHeight="1">
      <c r="C9" s="148" t="s">
        <v>94</v>
      </c>
      <c r="D9" s="167">
        <f>'Input | Inflation and Disc Rate'!G22</f>
        <v>5.3275175033176358E-2</v>
      </c>
      <c r="E9" s="167">
        <f>'Input | Inflation and Disc Rate'!H22</f>
        <v>5.1248350223747074E-2</v>
      </c>
      <c r="F9" s="167">
        <f>'Input | Inflation and Disc Rate'!I22</f>
        <v>5.5633004207740866E-2</v>
      </c>
      <c r="G9" s="167">
        <f>'Input | Inflation and Disc Rate'!J22</f>
        <v>5.3877983720027389E-2</v>
      </c>
      <c r="H9" s="168">
        <f>'Input | Inflation and Disc Rate'!K22</f>
        <v>5.4030979733082019E-2</v>
      </c>
      <c r="I9" s="97"/>
      <c r="J9" s="79"/>
      <c r="K9" s="79"/>
    </row>
    <row r="10" spans="2:23" ht="11.25" customHeight="1">
      <c r="C10" s="113" t="s">
        <v>13</v>
      </c>
      <c r="D10" s="169">
        <f>'Input | Reported Capex'!H$12*'Input | Inflation and Disc Rate'!G$15*(1+'Input | Inflation and Disc Rate'!G$20)^0.5</f>
        <v>385.43962466970964</v>
      </c>
      <c r="E10" s="170">
        <f>'Input | Reported Capex'!I$12*'Input | Inflation and Disc Rate'!H$15*(1+'Input | Inflation and Disc Rate'!H$20)^0.5</f>
        <v>396.87989809424403</v>
      </c>
      <c r="F10" s="170">
        <f>'Input | Reported Capex'!J$12*'Input | Inflation and Disc Rate'!I$15*(1+'Input | Inflation and Disc Rate'!I$20)^0.5</f>
        <v>388.18139685985983</v>
      </c>
      <c r="G10" s="170">
        <f>'Input | Reported Capex'!K$12*'Input | Inflation and Disc Rate'!J$15*(1+'Input | Inflation and Disc Rate'!J$20)^0.5</f>
        <v>388.42822925370666</v>
      </c>
      <c r="H10" s="171">
        <f>'Input | Reported Capex'!L$12*'Input | Inflation and Disc Rate'!K$15*(1+'Input | Inflation and Disc Rate'!K$20)^0.5</f>
        <v>401.13088432049005</v>
      </c>
      <c r="I10" s="97"/>
      <c r="J10" s="79"/>
      <c r="K10" s="79"/>
      <c r="N10" s="139"/>
    </row>
    <row r="11" spans="2:23" ht="11.25" customHeight="1">
      <c r="C11" s="113" t="s">
        <v>15</v>
      </c>
      <c r="D11" s="172">
        <f>'Input | Reported Capex'!H23*(1+D$9)^0.5</f>
        <v>237.74839122442165</v>
      </c>
      <c r="E11" s="170">
        <f>'Input | Reported Capex'!I23*(1+E$9)^0.5</f>
        <v>274.31959099306357</v>
      </c>
      <c r="F11" s="170">
        <f>'Input | Reported Capex'!J23*(1+F$9)^0.5</f>
        <v>374.22784377757978</v>
      </c>
      <c r="G11" s="170">
        <f>'Input | Reported Capex'!K23*(1+G$9)^0.5</f>
        <v>376.57582746051685</v>
      </c>
      <c r="H11" s="171">
        <f>'Input | Reported Capex'!L23*(1+H$9)^0.5</f>
        <v>387.12206274128692</v>
      </c>
      <c r="I11" s="97"/>
      <c r="J11" s="79"/>
      <c r="K11" s="79"/>
    </row>
    <row r="12" spans="2:23" s="19" customFormat="1" ht="11.25" customHeight="1">
      <c r="C12" s="113" t="s">
        <v>17</v>
      </c>
      <c r="D12" s="159">
        <f>(D10-D11)</f>
        <v>147.69123344528799</v>
      </c>
      <c r="E12" s="146">
        <f>(E10-E11)</f>
        <v>122.56030710118046</v>
      </c>
      <c r="F12" s="146">
        <f t="shared" ref="F12:H12" si="0">(F10-F11)</f>
        <v>13.953553082280052</v>
      </c>
      <c r="G12" s="146">
        <f t="shared" si="0"/>
        <v>11.852401793189813</v>
      </c>
      <c r="H12" s="151">
        <f t="shared" si="0"/>
        <v>14.008821579203129</v>
      </c>
      <c r="I12" s="97"/>
      <c r="J12" s="79"/>
      <c r="K12" s="79"/>
    </row>
    <row r="13" spans="2:23" ht="11.25" customHeight="1">
      <c r="C13" s="113" t="s">
        <v>71</v>
      </c>
      <c r="D13" s="89"/>
      <c r="E13" s="146">
        <f>$D$12*$E$8</f>
        <v>5.3106023765541241</v>
      </c>
      <c r="F13" s="146">
        <f>$D$12*$F$8*(1+'Input | Inflation and Disc Rate'!H13)</f>
        <v>5.3740120605784112</v>
      </c>
      <c r="G13" s="146">
        <f>$D$12*$G$8*(1+'Input | Inflation and Disc Rate'!H13)*(1+'Input | Inflation and Disc Rate'!I13)</f>
        <v>5.4075043848633815</v>
      </c>
      <c r="H13" s="151">
        <f>$D$12*$H$8*(1+'Input | Inflation and Disc Rate'!H13)*(1+'Input | Inflation and Disc Rate'!I13)*(1+'Input | Inflation and Disc Rate'!J13)</f>
        <v>5.4382420598342689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7"/>
      <c r="F14" s="146">
        <f>$E$12*F$8</f>
        <v>4.3947113644990132</v>
      </c>
      <c r="G14" s="146">
        <f>$E$12*G$8*(1+'Input | Inflation and Disc Rate'!I13)</f>
        <v>4.4221004169424143</v>
      </c>
      <c r="H14" s="151">
        <f>$E$12*H$8*(1+'Input | Inflation and Disc Rate'!I13)*(1+'Input | Inflation and Disc Rate'!J13)</f>
        <v>4.447236796985873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6"/>
      <c r="F15" s="146"/>
      <c r="G15" s="146">
        <f>$F$12*G$8</f>
        <v>0.49402695018427578</v>
      </c>
      <c r="H15" s="151">
        <f>$F$12*$H$8*(1+'Input | Inflation and Disc Rate'!J13)</f>
        <v>0.49683512910395067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6"/>
      <c r="F16" s="146"/>
      <c r="G16" s="146"/>
      <c r="H16" s="151">
        <f>$G$12*$H$8</f>
        <v>0.41462341105932632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2">
        <f>SUM(E13:E17)</f>
        <v>5.3106023765541241</v>
      </c>
      <c r="F18" s="152">
        <f t="shared" ref="F18:H18" si="1">SUM(F13:F17)</f>
        <v>9.7687234250774253</v>
      </c>
      <c r="G18" s="152">
        <f t="shared" si="1"/>
        <v>10.323631751990073</v>
      </c>
      <c r="H18" s="153">
        <f t="shared" si="1"/>
        <v>10.79693739698342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92</v>
      </c>
      <c r="D19" s="126">
        <f>E19*(1+E$9)</f>
        <v>1.2327130531749675</v>
      </c>
      <c r="E19" s="152">
        <f>F19*(1+F$9)</f>
        <v>1.1726182998647252</v>
      </c>
      <c r="F19" s="152">
        <f>G19*(1+G$9)</f>
        <v>1.1108200436995455</v>
      </c>
      <c r="G19" s="152">
        <f>H19*(1+H$9)</f>
        <v>1.054030979733082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182.06091130751784</v>
      </c>
      <c r="E20" s="146">
        <f>E12*E19</f>
        <v>143.71645894388485</v>
      </c>
      <c r="F20" s="146">
        <f t="shared" ref="F20:H20" si="2">F12*F19</f>
        <v>15.499886444622256</v>
      </c>
      <c r="G20" s="146">
        <f t="shared" si="2"/>
        <v>12.492798674265996</v>
      </c>
      <c r="H20" s="151">
        <f t="shared" si="2"/>
        <v>14.008821579203129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2">
        <f>E18*E19</f>
        <v>6.2273095300524659</v>
      </c>
      <c r="F21" s="152">
        <f t="shared" ref="F21:H21" si="3">F18*F19</f>
        <v>10.851293781933279</v>
      </c>
      <c r="G21" s="152">
        <f t="shared" si="3"/>
        <v>10.88142768995365</v>
      </c>
      <c r="H21" s="153">
        <f t="shared" si="3"/>
        <v>10.79693739698342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5" t="str">
        <f>'Input | General'!$D$18</f>
        <v>2020-21</v>
      </c>
      <c r="E24" s="185" t="str">
        <f>'Input | General'!$E$18</f>
        <v>2021–22</v>
      </c>
      <c r="F24" s="185" t="str">
        <f>'Input | General'!$F$18</f>
        <v>2022–23</v>
      </c>
      <c r="G24" s="185" t="str">
        <f>'Input | General'!$G$18</f>
        <v>2023–24</v>
      </c>
      <c r="H24" s="186" t="str">
        <f>'Input | General'!$H$18</f>
        <v>2024–25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3">
        <f>'Input | Inflation and Disc Rate'!L$22</f>
        <v>4.7455559849309603E-2</v>
      </c>
      <c r="E25" s="173">
        <f>'Input | Inflation and Disc Rate'!M$22</f>
        <v>4.5815662318069661E-2</v>
      </c>
      <c r="F25" s="173">
        <f>'Input | Inflation and Disc Rate'!N$22</f>
        <v>4.4175764786829497E-2</v>
      </c>
      <c r="G25" s="173">
        <f>'Input | Inflation and Disc Rate'!O$22</f>
        <v>4.2535867255589555E-2</v>
      </c>
      <c r="H25" s="174">
        <f>'Input | Inflation and Disc Rate'!P$22</f>
        <v>4.0895969724349834E-2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70">
        <f>'Input | Reported Capex'!H31</f>
        <v>0</v>
      </c>
      <c r="E26" s="170">
        <f>'Input | Reported Capex'!I31</f>
        <v>0</v>
      </c>
      <c r="F26" s="170">
        <f>'Input | Reported Capex'!J31</f>
        <v>0</v>
      </c>
      <c r="G26" s="170">
        <f>'Input | Reported Capex'!K31</f>
        <v>0</v>
      </c>
      <c r="H26" s="171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0.97708466410316652</v>
      </c>
      <c r="E27" s="124">
        <f>1/((1+E25)^(0.5)*(1+D25))</f>
        <v>0.93354836544135034</v>
      </c>
      <c r="F27" s="124">
        <f>1/((1+F25)^(0.5)*(1+E25)*(1+D25))</f>
        <v>0.89335165753397228</v>
      </c>
      <c r="G27" s="124">
        <f>1/((1+G25)^(0.5)*(1+F25)*(1+E25)*(1+D25))</f>
        <v>0.85622940868691522</v>
      </c>
      <c r="H27" s="125">
        <f>1/((1+H25)^(0.5)*(1+G25)*(1+F25)*(1+E25)*(1+D25))</f>
        <v>0.82194162412889493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367.77887694949402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257.44521386464578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110.3336630848482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38.756968398922815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71.576694685925389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7" t="str">
        <f>'Input | General'!D18</f>
        <v>2020-21</v>
      </c>
      <c r="E40" s="187" t="str">
        <f>'Input | General'!E18</f>
        <v>2021–22</v>
      </c>
      <c r="F40" s="187" t="str">
        <f>'Input | General'!F18</f>
        <v>2022–23</v>
      </c>
      <c r="G40" s="187" t="str">
        <f>'Input | General'!G18</f>
        <v>2023–24</v>
      </c>
      <c r="H40" s="187" t="str">
        <f>'Input | General'!H18</f>
        <v>2024–25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98</v>
      </c>
      <c r="D41" s="175">
        <f>1/(1+'Input | Inflation and Disc Rate'!L21)</f>
        <v>0.97640409779880843</v>
      </c>
      <c r="E41" s="175">
        <f>D41/(1+'Input | Inflation and Disc Rate'!M21)</f>
        <v>0.95485989185389497</v>
      </c>
      <c r="F41" s="175">
        <f>E41/(1+'Input | Inflation and Disc Rate'!N21)</f>
        <v>0.93525759177762779</v>
      </c>
      <c r="G41" s="175">
        <f>F41/(1+'Input | Inflation and Disc Rate'!O21)</f>
        <v>0.91749865570351219</v>
      </c>
      <c r="H41" s="176">
        <f>G41/(1+'Input | Inflation and Disc Rate'!P21)</f>
        <v>0.90149497308331705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3" t="str">
        <f>CONCATENATE("CESS Payment Per Year ($", 'Output | Models'!$F$8," million)")</f>
        <v>CESS Payment Per Year ($2019–20 million)</v>
      </c>
      <c r="D42" s="110">
        <f>D36/(SUM(D41:H41))</f>
        <v>15.276163127129838</v>
      </c>
      <c r="E42" s="110">
        <f>D42</f>
        <v>15.276163127129838</v>
      </c>
      <c r="F42" s="110">
        <f t="shared" ref="F42:H42" si="5">E42</f>
        <v>15.276163127129838</v>
      </c>
      <c r="G42" s="110">
        <f t="shared" si="5"/>
        <v>15.276163127129838</v>
      </c>
      <c r="H42" s="149">
        <f t="shared" si="5"/>
        <v>15.276163127129838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3" t="str">
        <f>CONCATENATE("Total CESS Payment ($", 'Output | Models'!$F$8," million)")</f>
        <v>Total CESS Payment ($2019–20 million)</v>
      </c>
      <c r="D44" s="158">
        <f>SUM(D42:H42)</f>
        <v>76.380815635649185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O1" sqref="O1:O2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SAPN 2021-25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60" t="s">
        <v>48</v>
      </c>
      <c r="M1" s="165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  <c r="O2" s="207"/>
    </row>
    <row r="3" spans="1:27" s="40" customFormat="1">
      <c r="C3" s="41"/>
      <c r="D3" s="42"/>
      <c r="E3" s="42"/>
      <c r="F3" s="42"/>
      <c r="G3" s="42"/>
      <c r="H3" s="42"/>
      <c r="I3" s="42"/>
      <c r="J3" s="208"/>
      <c r="K3" s="208"/>
      <c r="L3" s="208"/>
      <c r="M3" s="42"/>
      <c r="N3" s="208"/>
      <c r="O3" s="208"/>
      <c r="P3" s="208"/>
      <c r="Q3" s="208"/>
      <c r="R3" s="208"/>
      <c r="S3" s="208"/>
      <c r="T3" s="208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8" t="str">
        <f>'Calc | CESS Revenue Increments'!D40</f>
        <v>2020-21</v>
      </c>
      <c r="K6" s="188" t="str">
        <f>'Calc | CESS Revenue Increments'!E40</f>
        <v>2021–22</v>
      </c>
      <c r="L6" s="188" t="str">
        <f>'Calc | CESS Revenue Increments'!F40</f>
        <v>2022–23</v>
      </c>
      <c r="M6" s="188" t="str">
        <f>'Calc | CESS Revenue Increments'!G40</f>
        <v>2023–24</v>
      </c>
      <c r="N6" s="188" t="str">
        <f>'Calc | CESS Revenue Increments'!H40</f>
        <v>2024–25</v>
      </c>
      <c r="O6" s="56" t="s">
        <v>86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90" t="s">
        <v>58</v>
      </c>
      <c r="E8" s="52" t="s">
        <v>50</v>
      </c>
      <c r="F8" s="189" t="str">
        <f>IF(LEN(J6)&gt;4,CONCATENATE(LEFT(J6,4)-1&amp;"–"&amp;IF(RIGHT(J6,2)="00","99",IF(RIGHT(J6,2)-1&lt;10,"0","")&amp;RIGHT(J6,2)-1)),J6-1)</f>
        <v>2019–20</v>
      </c>
      <c r="H8" s="55"/>
      <c r="I8" s="55"/>
      <c r="J8" s="133">
        <f>'Calc | CESS Revenue Increments'!D42</f>
        <v>15.276163127129838</v>
      </c>
      <c r="K8" s="133">
        <f>'Calc | CESS Revenue Increments'!E42</f>
        <v>15.276163127129838</v>
      </c>
      <c r="L8" s="133">
        <f>'Calc | CESS Revenue Increments'!F42</f>
        <v>15.276163127129838</v>
      </c>
      <c r="M8" s="133">
        <f>'Calc | CESS Revenue Increments'!G42</f>
        <v>15.276163127129838</v>
      </c>
      <c r="N8" s="133">
        <f>'Calc | CESS Revenue Increments'!H42</f>
        <v>15.276163127129838</v>
      </c>
      <c r="O8" s="60">
        <f>SUM(J8:N8)</f>
        <v>76.380815635649185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SAPN Changes</vt:lpstr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Boo, Richard</cp:lastModifiedBy>
  <cp:lastPrinted>2019-10-16T06:12:38Z</cp:lastPrinted>
  <dcterms:created xsi:type="dcterms:W3CDTF">2017-09-22T02:00:05Z</dcterms:created>
  <dcterms:modified xsi:type="dcterms:W3CDTF">2020-05-16T00:11:20Z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