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ER\Amadeus GAAR 2021-26\6 Final Decision\For Website\"/>
    </mc:Choice>
  </mc:AlternateContent>
  <bookViews>
    <workbookView xWindow="0" yWindow="0" windowWidth="20490" windowHeight="7320"/>
  </bookViews>
  <sheets>
    <sheet name="Reference tariffs" sheetId="1" r:id="rId1"/>
  </sheets>
  <externalReferences>
    <externalReference r:id="rId2"/>
  </externalReferences>
  <definedNames>
    <definedName name="f">'[1]PTRM input'!$G$481</definedName>
    <definedName name="P_0_RevCap">'Reference tariffs'!$G$48</definedName>
    <definedName name="s_rev_00_RevCap">'Reference tariffs'!$F$42</definedName>
    <definedName name="s_rev_01_RevCap">'Reference tariffs'!$G$42</definedName>
    <definedName name="s_rev_02_RevCap">'Reference tariffs'!$H$42</definedName>
    <definedName name="s_rev_03_RevCap">'Reference tariffs'!$I$42</definedName>
    <definedName name="s_rev_04_RevCap">'Reference tariffs'!$J$42</definedName>
    <definedName name="total_rev_02">'Reference tariffs'!$H$37</definedName>
    <definedName name="total_rev_03">'Reference tariffs'!$I$37</definedName>
    <definedName name="total_rev_04">'Reference tariffs'!$J$37</definedName>
    <definedName name="total_rev_05">'Reference tariffs'!$K$37</definedName>
    <definedName name="X_02_RevCap">'Reference tariffs'!$H$48</definedName>
    <definedName name="X_03_RevCap">'Reference tariffs'!$I$48</definedName>
    <definedName name="X_04_RevCap">'Reference tariffs'!$J$48</definedName>
    <definedName name="X_05_RevCap">'Reference tariffs'!$K$48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G28" i="1" l="1"/>
  <c r="H28" i="1" s="1"/>
  <c r="I28" i="1" s="1"/>
  <c r="J28" i="1" l="1"/>
  <c r="K28" i="1" s="1"/>
  <c r="H17" i="1"/>
  <c r="H41" i="1" s="1"/>
  <c r="I17" i="1"/>
  <c r="I41" i="1" s="1"/>
  <c r="J17" i="1"/>
  <c r="J41" i="1" s="1"/>
  <c r="K17" i="1"/>
  <c r="K41" i="1" s="1"/>
  <c r="G17" i="1" l="1"/>
  <c r="G41" i="1" l="1"/>
  <c r="J18" i="1" l="1"/>
  <c r="I18" i="1"/>
  <c r="K18" i="1"/>
  <c r="H18" i="1"/>
  <c r="G18" i="1"/>
  <c r="G15" i="1"/>
  <c r="K15" i="1"/>
  <c r="H15" i="1"/>
  <c r="J15" i="1"/>
  <c r="I15" i="1"/>
  <c r="I50" i="1" l="1"/>
  <c r="G50" i="1"/>
  <c r="J50" i="1"/>
  <c r="H50" i="1"/>
  <c r="K50" i="1"/>
  <c r="H20" i="1"/>
  <c r="I20" i="1"/>
  <c r="G20" i="1"/>
  <c r="J20" i="1"/>
  <c r="K20" i="1"/>
  <c r="H26" i="1" l="1"/>
  <c r="I26" i="1" s="1"/>
  <c r="J26" i="1" s="1"/>
  <c r="K26" i="1" s="1"/>
  <c r="G34" i="1" l="1"/>
  <c r="G49" i="1" s="1"/>
  <c r="G52" i="1" s="1"/>
  <c r="G33" i="1"/>
  <c r="G36" i="1" l="1"/>
  <c r="G40" i="1"/>
  <c r="G43" i="1" s="1"/>
  <c r="G53" i="1"/>
  <c r="G54" i="1" s="1"/>
  <c r="H52" i="1"/>
  <c r="G58" i="1"/>
  <c r="I52" i="1" l="1"/>
  <c r="H53" i="1"/>
  <c r="H54" i="1" s="1"/>
  <c r="H58" i="1"/>
  <c r="G44" i="1"/>
  <c r="G45" i="1" s="1"/>
  <c r="G57" i="1"/>
  <c r="H43" i="1"/>
  <c r="I43" i="1" l="1"/>
  <c r="H57" i="1"/>
  <c r="H60" i="1" s="1"/>
  <c r="H44" i="1"/>
  <c r="H45" i="1" s="1"/>
  <c r="G60" i="1"/>
  <c r="I53" i="1"/>
  <c r="I54" i="1" s="1"/>
  <c r="J52" i="1"/>
  <c r="I58" i="1"/>
  <c r="J53" i="1" l="1"/>
  <c r="J54" i="1" s="1"/>
  <c r="J58" i="1"/>
  <c r="K52" i="1"/>
  <c r="J43" i="1"/>
  <c r="I57" i="1"/>
  <c r="I44" i="1"/>
  <c r="I45" i="1" s="1"/>
  <c r="K43" i="1" l="1"/>
  <c r="J57" i="1"/>
  <c r="J60" i="1" s="1"/>
  <c r="J44" i="1"/>
  <c r="J45" i="1" s="1"/>
  <c r="K58" i="1"/>
  <c r="F63" i="1" s="1"/>
  <c r="K53" i="1"/>
  <c r="K54" i="1" s="1"/>
  <c r="I60" i="1"/>
  <c r="K57" i="1" l="1"/>
  <c r="K44" i="1"/>
  <c r="K45" i="1" s="1"/>
  <c r="K60" i="1" l="1"/>
  <c r="F62" i="1"/>
  <c r="F65" i="1" s="1"/>
  <c r="H34" i="1" l="1"/>
  <c r="H49" i="1" s="1"/>
  <c r="H33" i="1"/>
  <c r="H36" i="1" l="1"/>
  <c r="H40" i="1"/>
  <c r="I34" i="1" l="1"/>
  <c r="I49" i="1" s="1"/>
  <c r="I33" i="1"/>
  <c r="I40" i="1" l="1"/>
  <c r="I36" i="1"/>
  <c r="J34" i="1" l="1"/>
  <c r="J49" i="1" s="1"/>
  <c r="J33" i="1"/>
  <c r="J40" i="1" l="1"/>
  <c r="J36" i="1"/>
  <c r="K34" i="1" l="1"/>
  <c r="K49" i="1" s="1"/>
  <c r="K33" i="1"/>
  <c r="K36" i="1" l="1"/>
  <c r="K40" i="1"/>
  <c r="F69" i="1" l="1"/>
</calcChain>
</file>

<file path=xl/comments1.xml><?xml version="1.0" encoding="utf-8"?>
<comments xmlns="http://schemas.openxmlformats.org/spreadsheetml/2006/main">
  <authors>
    <author>Xue, Christine</author>
  </authors>
  <commentList>
    <comment ref="B27" authorId="0" shapeId="0">
      <text>
        <r>
          <rPr>
            <b/>
            <sz val="9"/>
            <color indexed="81"/>
            <rFont val="Tahoma"/>
            <family val="2"/>
          </rPr>
          <t>Xue, Christine:</t>
        </r>
        <r>
          <rPr>
            <sz val="9"/>
            <color indexed="81"/>
            <rFont val="Tahoma"/>
            <family val="2"/>
          </rPr>
          <t xml:space="preserve">
Nominal Vanilla WACC (varying)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As per proposed AA information table 18.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Changed formula to reflect varying WACC</t>
        </r>
      </text>
    </comment>
  </commentList>
</comments>
</file>

<file path=xl/sharedStrings.xml><?xml version="1.0" encoding="utf-8"?>
<sst xmlns="http://schemas.openxmlformats.org/spreadsheetml/2006/main" count="74" uniqueCount="45">
  <si>
    <t>Amadeus Gas Pipeline</t>
  </si>
  <si>
    <t>Access Arrangement revision 2021-22 to 2025-26</t>
  </si>
  <si>
    <t>TJ/d</t>
  </si>
  <si>
    <t>Forecast</t>
  </si>
  <si>
    <t>Firm service</t>
  </si>
  <si>
    <t>2021-22</t>
  </si>
  <si>
    <t>2022-23</t>
  </si>
  <si>
    <t>2023-24</t>
  </si>
  <si>
    <t>2024-25</t>
  </si>
  <si>
    <t>2025-26</t>
  </si>
  <si>
    <t>Interruptible service</t>
  </si>
  <si>
    <t>$m</t>
  </si>
  <si>
    <t>$/GJ MDQ</t>
  </si>
  <si>
    <t>GJ</t>
  </si>
  <si>
    <t>Forecast revenue</t>
  </si>
  <si>
    <t>PV(Firm service forecast revenue)</t>
  </si>
  <si>
    <t>PV(Interruptible service forecast revenue)</t>
  </si>
  <si>
    <t>PV(forecast revenue)</t>
  </si>
  <si>
    <t>p0</t>
  </si>
  <si>
    <t>X02</t>
  </si>
  <si>
    <t>X03</t>
  </si>
  <si>
    <t>X04</t>
  </si>
  <si>
    <t>X05</t>
  </si>
  <si>
    <t>PV(smoothed total revenue) (from PTRM)</t>
  </si>
  <si>
    <t>Reference tariff calculation</t>
  </si>
  <si>
    <t>Inflation forecast</t>
  </si>
  <si>
    <t>p0, X factors</t>
  </si>
  <si>
    <t>Smoothed total revenue</t>
  </si>
  <si>
    <t>Reference tariff:  firm service</t>
  </si>
  <si>
    <t>Tariff:  firm service</t>
  </si>
  <si>
    <t>Reference tariff:  interruptible service</t>
  </si>
  <si>
    <t>GJ MDQ</t>
  </si>
  <si>
    <t>Tariff:  interruptible service</t>
  </si>
  <si>
    <t>Rate of return</t>
  </si>
  <si>
    <t>Allocation of (smoothed) total revenue to reference services</t>
  </si>
  <si>
    <t>$/GJ</t>
  </si>
  <si>
    <t>PV difference</t>
  </si>
  <si>
    <t>Input from Post-tax Revenue Model</t>
  </si>
  <si>
    <t xml:space="preserve">Total revenue allocated to firm </t>
  </si>
  <si>
    <t>Total revenue allocated to interruptible</t>
  </si>
  <si>
    <t>Annual change in tariff ($nominal)</t>
  </si>
  <si>
    <t>X factors (tariff cap)</t>
  </si>
  <si>
    <t>Cumulative discount rate</t>
  </si>
  <si>
    <t>Response to AER draft decision amendments</t>
  </si>
  <si>
    <t>AER final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</si>
</sst>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0000"/>
    <numFmt numFmtId="165" formatCode="#,##0.000"/>
    <numFmt numFmtId="166" formatCode="#,##0.000_ ;[Red]\-#,##0.000\ "/>
    <numFmt numFmtId="167" formatCode="#,##0.0000"/>
    <numFmt numFmtId="168" formatCode="0.0%"/>
    <numFmt numFmtId="169" formatCode="0.0000"/>
    <numFmt numFmtId="170" formatCode="0.000"/>
    <numFmt numFmtId="171" formatCode="#,##0.0000000000"/>
    <numFmt numFmtId="172" formatCode="#,##0.000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009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4" fontId="3" fillId="0" borderId="0" xfId="0" applyNumberFormat="1" applyFont="1"/>
    <xf numFmtId="0" fontId="3" fillId="0" borderId="1" xfId="0" applyFont="1" applyBorder="1"/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/>
    <xf numFmtId="3" fontId="3" fillId="0" borderId="0" xfId="0" applyNumberFormat="1" applyFont="1"/>
    <xf numFmtId="3" fontId="3" fillId="0" borderId="1" xfId="0" applyNumberFormat="1" applyFont="1" applyBorder="1"/>
    <xf numFmtId="165" fontId="3" fillId="0" borderId="0" xfId="0" applyNumberFormat="1" applyFont="1"/>
    <xf numFmtId="167" fontId="3" fillId="0" borderId="0" xfId="0" applyNumberFormat="1" applyFont="1"/>
    <xf numFmtId="10" fontId="3" fillId="0" borderId="0" xfId="1" applyNumberFormat="1" applyFont="1"/>
    <xf numFmtId="168" fontId="4" fillId="0" borderId="0" xfId="1" applyNumberFormat="1" applyFont="1"/>
    <xf numFmtId="167" fontId="3" fillId="0" borderId="0" xfId="0" applyNumberFormat="1" applyFont="1" applyBorder="1"/>
    <xf numFmtId="165" fontId="3" fillId="0" borderId="0" xfId="0" applyNumberFormat="1" applyFont="1" applyBorder="1"/>
    <xf numFmtId="3" fontId="3" fillId="0" borderId="0" xfId="0" applyNumberFormat="1" applyFont="1" applyBorder="1"/>
    <xf numFmtId="167" fontId="2" fillId="0" borderId="0" xfId="0" applyNumberFormat="1" applyFont="1" applyBorder="1"/>
    <xf numFmtId="166" fontId="3" fillId="0" borderId="0" xfId="0" applyNumberFormat="1" applyFont="1"/>
    <xf numFmtId="166" fontId="2" fillId="0" borderId="0" xfId="0" applyNumberFormat="1" applyFont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vertical="top"/>
    </xf>
    <xf numFmtId="168" fontId="3" fillId="0" borderId="0" xfId="1" applyNumberFormat="1" applyFont="1" applyBorder="1"/>
    <xf numFmtId="4" fontId="5" fillId="2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169" fontId="2" fillId="0" borderId="0" xfId="0" applyNumberFormat="1" applyFont="1" applyFill="1"/>
    <xf numFmtId="0" fontId="3" fillId="0" borderId="0" xfId="0" applyFont="1" applyFill="1" applyAlignment="1">
      <alignment horizontal="right"/>
    </xf>
    <xf numFmtId="168" fontId="3" fillId="0" borderId="0" xfId="1" applyNumberFormat="1" applyFont="1" applyFill="1" applyBorder="1"/>
    <xf numFmtId="10" fontId="3" fillId="0" borderId="0" xfId="1" applyNumberFormat="1" applyFont="1" applyFill="1" applyBorder="1"/>
    <xf numFmtId="170" fontId="3" fillId="0" borderId="0" xfId="0" applyNumberFormat="1" applyFont="1" applyFill="1"/>
    <xf numFmtId="165" fontId="5" fillId="4" borderId="0" xfId="0" applyNumberFormat="1" applyFont="1" applyFill="1"/>
    <xf numFmtId="10" fontId="5" fillId="4" borderId="0" xfId="1" applyNumberFormat="1" applyFont="1" applyFill="1" applyAlignment="1">
      <alignment horizontal="right"/>
    </xf>
    <xf numFmtId="10" fontId="5" fillId="4" borderId="0" xfId="1" applyNumberFormat="1" applyFont="1" applyFill="1"/>
    <xf numFmtId="170" fontId="3" fillId="4" borderId="0" xfId="0" applyNumberFormat="1" applyFont="1" applyFill="1"/>
    <xf numFmtId="0" fontId="3" fillId="4" borderId="0" xfId="0" applyFont="1" applyFill="1"/>
    <xf numFmtId="10" fontId="3" fillId="4" borderId="0" xfId="1" applyNumberFormat="1" applyFont="1" applyFill="1"/>
    <xf numFmtId="171" fontId="3" fillId="0" borderId="0" xfId="0" applyNumberFormat="1" applyFont="1"/>
    <xf numFmtId="172" fontId="3" fillId="0" borderId="0" xfId="0" applyNumberFormat="1" applyFont="1"/>
    <xf numFmtId="0" fontId="2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data\group$\Regulatory\APT%20Assets\NT%20Gas%20and%20AGP\AGP%20AA%20revision%202021-2026\16.%20RFM%20and%20PTRM\Amadeus%20PTRM%20(AER%20gas%20transmission%20version%201_1)%208-May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sets"/>
      <sheetName val="Analysis"/>
      <sheetName val="X factors"/>
      <sheetName val="Revenue summary"/>
      <sheetName val="Equity raising costs"/>
      <sheetName val="Chart 1-Revenue"/>
      <sheetName val="Chart 2-Building blo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81">
          <cell r="G481">
            <v>2.3869326829105697E-2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74"/>
  <sheetViews>
    <sheetView showGridLines="0" tabSelected="1" workbookViewId="0"/>
  </sheetViews>
  <sheetFormatPr defaultColWidth="9.140625" defaultRowHeight="11.25" x14ac:dyDescent="0.2"/>
  <cols>
    <col min="1" max="1" width="4.7109375" style="2" customWidth="1"/>
    <col min="2" max="3" width="1.7109375" style="2" customWidth="1"/>
    <col min="4" max="4" width="25.7109375" style="2" customWidth="1"/>
    <col min="5" max="5" width="9.140625" style="2"/>
    <col min="6" max="6" width="15.85546875" style="2" customWidth="1"/>
    <col min="7" max="11" width="10.7109375" style="2" customWidth="1"/>
    <col min="12" max="12" width="12.7109375" style="2" customWidth="1"/>
    <col min="13" max="16" width="13.85546875" style="2" bestFit="1" customWidth="1"/>
    <col min="17" max="16384" width="9.140625" style="2"/>
  </cols>
  <sheetData>
    <row r="2" spans="2:16" x14ac:dyDescent="0.2">
      <c r="B2" s="1" t="s">
        <v>0</v>
      </c>
      <c r="C2" s="1"/>
      <c r="D2" s="1"/>
      <c r="G2" s="44" t="s">
        <v>43</v>
      </c>
      <c r="H2" s="44"/>
      <c r="I2" s="44"/>
      <c r="J2" s="44"/>
    </row>
    <row r="3" spans="2:16" x14ac:dyDescent="0.2">
      <c r="B3" s="1" t="s">
        <v>1</v>
      </c>
      <c r="C3" s="1"/>
      <c r="D3" s="1"/>
      <c r="G3" s="40" t="s">
        <v>44</v>
      </c>
      <c r="H3" s="40"/>
    </row>
    <row r="6" spans="2:16" x14ac:dyDescent="0.2">
      <c r="B6" s="1" t="s">
        <v>24</v>
      </c>
      <c r="C6" s="1"/>
      <c r="D6" s="1"/>
    </row>
    <row r="7" spans="2:16" x14ac:dyDescent="0.2">
      <c r="H7" s="3"/>
      <c r="I7" s="3"/>
      <c r="J7" s="3"/>
      <c r="K7" s="3"/>
      <c r="L7" s="3"/>
    </row>
    <row r="8" spans="2:16" ht="16.5" customHeight="1" x14ac:dyDescent="0.2">
      <c r="B8" s="23"/>
      <c r="C8" s="23"/>
      <c r="D8" s="23"/>
      <c r="E8" s="23"/>
      <c r="F8" s="23"/>
      <c r="G8" s="24" t="s">
        <v>5</v>
      </c>
      <c r="H8" s="25" t="s">
        <v>6</v>
      </c>
      <c r="I8" s="25" t="s">
        <v>7</v>
      </c>
      <c r="J8" s="25" t="s">
        <v>8</v>
      </c>
      <c r="K8" s="25" t="s">
        <v>9</v>
      </c>
      <c r="L8" s="5"/>
      <c r="M8" s="5"/>
      <c r="N8" s="5"/>
      <c r="O8" s="5"/>
      <c r="P8" s="5"/>
    </row>
    <row r="9" spans="2:16" ht="16.5" customHeight="1" x14ac:dyDescent="0.2">
      <c r="B9" s="22"/>
      <c r="C9" s="22"/>
      <c r="D9" s="22"/>
      <c r="E9" s="22"/>
      <c r="F9" s="22"/>
      <c r="G9" s="26">
        <v>365</v>
      </c>
      <c r="H9" s="26">
        <v>365</v>
      </c>
      <c r="I9" s="26">
        <v>366</v>
      </c>
      <c r="J9" s="26">
        <v>365</v>
      </c>
      <c r="K9" s="26">
        <v>365</v>
      </c>
      <c r="L9" s="5"/>
      <c r="M9" s="5"/>
      <c r="N9" s="5"/>
      <c r="O9" s="5"/>
      <c r="P9" s="5"/>
    </row>
    <row r="10" spans="2:16" x14ac:dyDescent="0.2">
      <c r="G10" s="7"/>
      <c r="H10" s="7"/>
      <c r="I10" s="7"/>
      <c r="J10" s="7"/>
      <c r="K10" s="7"/>
      <c r="L10" s="5"/>
      <c r="M10" s="5"/>
      <c r="N10" s="5"/>
      <c r="O10" s="5"/>
      <c r="P10" s="5"/>
    </row>
    <row r="11" spans="2:16" x14ac:dyDescent="0.2">
      <c r="B11" s="1" t="s">
        <v>3</v>
      </c>
      <c r="G11" s="7"/>
      <c r="H11" s="7"/>
      <c r="I11" s="7"/>
      <c r="J11" s="7"/>
      <c r="K11" s="7"/>
      <c r="L11" s="5"/>
      <c r="M11" s="5"/>
      <c r="N11" s="5"/>
      <c r="O11" s="5"/>
      <c r="P11" s="5"/>
    </row>
    <row r="12" spans="2:16" x14ac:dyDescent="0.2">
      <c r="B12" s="2" t="s">
        <v>4</v>
      </c>
      <c r="E12" s="4" t="s">
        <v>2</v>
      </c>
      <c r="F12" s="4"/>
      <c r="G12" s="28">
        <v>145</v>
      </c>
      <c r="H12" s="28">
        <v>145</v>
      </c>
      <c r="I12" s="28">
        <v>145</v>
      </c>
      <c r="J12" s="28">
        <v>145</v>
      </c>
      <c r="K12" s="28">
        <v>145</v>
      </c>
      <c r="L12" s="5"/>
      <c r="M12" s="5"/>
      <c r="N12" s="5"/>
      <c r="O12" s="5"/>
      <c r="P12" s="5"/>
    </row>
    <row r="13" spans="2:16" x14ac:dyDescent="0.2">
      <c r="B13" s="2" t="s">
        <v>10</v>
      </c>
      <c r="E13" s="4" t="s">
        <v>2</v>
      </c>
      <c r="F13" s="4"/>
      <c r="G13" s="28">
        <v>15</v>
      </c>
      <c r="H13" s="28">
        <v>15</v>
      </c>
      <c r="I13" s="28">
        <v>15</v>
      </c>
      <c r="J13" s="28">
        <v>15</v>
      </c>
      <c r="K13" s="28">
        <v>15</v>
      </c>
      <c r="L13" s="5"/>
      <c r="M13" s="5"/>
      <c r="N13" s="5"/>
      <c r="O13" s="5"/>
      <c r="P13" s="5"/>
    </row>
    <row r="14" spans="2:16" x14ac:dyDescent="0.2">
      <c r="E14" s="4"/>
      <c r="G14" s="9"/>
      <c r="H14" s="9"/>
      <c r="I14" s="9"/>
      <c r="J14" s="9"/>
      <c r="K14" s="9"/>
      <c r="L14" s="5"/>
      <c r="M14" s="5"/>
      <c r="N14" s="5"/>
      <c r="O14" s="5"/>
      <c r="P14" s="5"/>
    </row>
    <row r="15" spans="2:16" x14ac:dyDescent="0.2">
      <c r="E15" s="4" t="s">
        <v>2</v>
      </c>
      <c r="G15" s="5">
        <f>SUM(G12:G14)</f>
        <v>160</v>
      </c>
      <c r="H15" s="5">
        <f t="shared" ref="H15:K15" si="0">SUM(H12:H14)</f>
        <v>160</v>
      </c>
      <c r="I15" s="5">
        <f t="shared" si="0"/>
        <v>160</v>
      </c>
      <c r="J15" s="5">
        <f t="shared" si="0"/>
        <v>160</v>
      </c>
      <c r="K15" s="5">
        <f t="shared" si="0"/>
        <v>160</v>
      </c>
      <c r="L15" s="5"/>
      <c r="M15" s="5"/>
      <c r="N15" s="5"/>
      <c r="O15" s="5"/>
      <c r="P15" s="5"/>
    </row>
    <row r="16" spans="2:16" x14ac:dyDescent="0.2"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">
      <c r="B17" s="2" t="s">
        <v>4</v>
      </c>
      <c r="E17" s="4" t="s">
        <v>13</v>
      </c>
      <c r="G17" s="10">
        <f>G9*G12*1000</f>
        <v>52925000</v>
      </c>
      <c r="H17" s="10">
        <f>H9*H12*1000</f>
        <v>52925000</v>
      </c>
      <c r="I17" s="10">
        <f>I9*I12*1000</f>
        <v>53070000</v>
      </c>
      <c r="J17" s="10">
        <f>J9*J12*1000</f>
        <v>52925000</v>
      </c>
      <c r="K17" s="10">
        <f>K9*K12*1000</f>
        <v>52925000</v>
      </c>
      <c r="L17" s="5"/>
      <c r="M17" s="5"/>
      <c r="N17" s="5"/>
      <c r="O17" s="5"/>
      <c r="P17" s="5"/>
    </row>
    <row r="18" spans="1:16" x14ac:dyDescent="0.2">
      <c r="B18" s="2" t="s">
        <v>10</v>
      </c>
      <c r="E18" s="4" t="s">
        <v>13</v>
      </c>
      <c r="G18" s="10">
        <f>G9*G13*1000</f>
        <v>5475000</v>
      </c>
      <c r="H18" s="10">
        <f>H9*H13*1000</f>
        <v>5475000</v>
      </c>
      <c r="I18" s="10">
        <f>I9*I13*1000</f>
        <v>5490000</v>
      </c>
      <c r="J18" s="10">
        <f>J9*J13*1000</f>
        <v>5475000</v>
      </c>
      <c r="K18" s="10">
        <f>K9*K13*1000</f>
        <v>5475000</v>
      </c>
      <c r="L18" s="5"/>
      <c r="M18" s="5"/>
      <c r="N18" s="5"/>
      <c r="O18" s="5"/>
      <c r="P18" s="5"/>
    </row>
    <row r="19" spans="1:16" x14ac:dyDescent="0.2">
      <c r="G19" s="11"/>
      <c r="H19" s="11"/>
      <c r="I19" s="11"/>
      <c r="J19" s="11"/>
      <c r="K19" s="11"/>
      <c r="L19" s="5"/>
      <c r="M19" s="5"/>
      <c r="N19" s="5"/>
      <c r="O19" s="5"/>
      <c r="P19" s="5"/>
    </row>
    <row r="20" spans="1:16" x14ac:dyDescent="0.2">
      <c r="E20" s="4" t="s">
        <v>13</v>
      </c>
      <c r="G20" s="10">
        <f>SUM(G17:G19)</f>
        <v>58400000</v>
      </c>
      <c r="H20" s="10">
        <f t="shared" ref="H20:K20" si="1">SUM(H17:H19)</f>
        <v>58400000</v>
      </c>
      <c r="I20" s="10">
        <f t="shared" si="1"/>
        <v>58560000</v>
      </c>
      <c r="J20" s="10">
        <f t="shared" si="1"/>
        <v>58400000</v>
      </c>
      <c r="K20" s="10">
        <f t="shared" si="1"/>
        <v>58400000</v>
      </c>
      <c r="L20" s="5"/>
      <c r="M20" s="5"/>
      <c r="N20" s="5"/>
      <c r="O20" s="5"/>
      <c r="P20" s="5"/>
    </row>
    <row r="21" spans="1:16" x14ac:dyDescent="0.2"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">
      <c r="B22" s="1" t="s">
        <v>37</v>
      </c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">
      <c r="B23" s="2" t="s">
        <v>27</v>
      </c>
      <c r="E23" s="4" t="s">
        <v>11</v>
      </c>
      <c r="F23" s="12"/>
      <c r="G23" s="36">
        <v>19.853116575935605</v>
      </c>
      <c r="H23" s="36">
        <v>19.712627637239837</v>
      </c>
      <c r="I23" s="36">
        <v>19.573132856908092</v>
      </c>
      <c r="J23" s="36">
        <v>19.434625199860868</v>
      </c>
      <c r="K23" s="36">
        <v>19.297097680801826</v>
      </c>
      <c r="L23" s="42"/>
      <c r="M23" s="13"/>
      <c r="N23" s="5"/>
      <c r="O23" s="5"/>
      <c r="P23" s="5"/>
    </row>
    <row r="24" spans="1:16" x14ac:dyDescent="0.2">
      <c r="B24" s="2" t="s">
        <v>26</v>
      </c>
      <c r="F24" s="4"/>
      <c r="G24" s="8" t="s">
        <v>18</v>
      </c>
      <c r="H24" s="8" t="s">
        <v>19</v>
      </c>
      <c r="I24" s="8" t="s">
        <v>20</v>
      </c>
      <c r="J24" s="8" t="s">
        <v>21</v>
      </c>
      <c r="K24" s="8" t="s">
        <v>22</v>
      </c>
      <c r="L24" s="43"/>
      <c r="M24" s="43"/>
      <c r="N24" s="43"/>
      <c r="O24" s="43"/>
      <c r="P24" s="43"/>
    </row>
    <row r="25" spans="1:16" x14ac:dyDescent="0.2">
      <c r="F25" s="4"/>
      <c r="G25" s="37">
        <v>0.13486767012832249</v>
      </c>
      <c r="H25" s="37">
        <v>2.6539659295914359E-2</v>
      </c>
      <c r="I25" s="37">
        <v>2.6539659295914359E-2</v>
      </c>
      <c r="J25" s="37">
        <v>2.6539659295914359E-2</v>
      </c>
      <c r="K25" s="37">
        <v>2.6539659295914359E-2</v>
      </c>
      <c r="L25" s="5"/>
      <c r="M25" s="5"/>
      <c r="N25" s="5"/>
      <c r="O25" s="5"/>
      <c r="P25" s="5"/>
    </row>
    <row r="26" spans="1:16" x14ac:dyDescent="0.2">
      <c r="B26" s="2" t="s">
        <v>25</v>
      </c>
      <c r="C26" s="29"/>
      <c r="D26" s="29"/>
      <c r="E26" s="29"/>
      <c r="F26" s="29"/>
      <c r="G26" s="38">
        <v>1.9993872504847632E-2</v>
      </c>
      <c r="H26" s="38">
        <f>G26</f>
        <v>1.9993872504847632E-2</v>
      </c>
      <c r="I26" s="38">
        <f t="shared" ref="I26:K26" si="2">H26</f>
        <v>1.9993872504847632E-2</v>
      </c>
      <c r="J26" s="38">
        <f t="shared" si="2"/>
        <v>1.9993872504847632E-2</v>
      </c>
      <c r="K26" s="38">
        <f t="shared" si="2"/>
        <v>1.9993872504847632E-2</v>
      </c>
      <c r="L26" s="5"/>
      <c r="M26" s="5"/>
      <c r="N26" s="5"/>
      <c r="O26" s="5"/>
      <c r="P26" s="5"/>
    </row>
    <row r="27" spans="1:16" x14ac:dyDescent="0.2">
      <c r="B27" s="29" t="s">
        <v>33</v>
      </c>
      <c r="C27" s="29"/>
      <c r="D27" s="29"/>
      <c r="E27" s="29"/>
      <c r="F27" s="29"/>
      <c r="G27" s="41">
        <v>4.8148262910941805E-2</v>
      </c>
      <c r="H27" s="41">
        <v>4.6243246548166972E-2</v>
      </c>
      <c r="I27" s="41">
        <v>4.4338230185392132E-2</v>
      </c>
      <c r="J27" s="41">
        <v>4.2433213822617298E-2</v>
      </c>
      <c r="K27" s="41">
        <v>4.0528197459842458E-2</v>
      </c>
      <c r="L27" s="5"/>
      <c r="M27" s="5"/>
      <c r="N27" s="5"/>
      <c r="O27" s="5"/>
      <c r="P27" s="5"/>
    </row>
    <row r="28" spans="1:16" x14ac:dyDescent="0.2">
      <c r="A28" s="29"/>
      <c r="B28" s="29" t="s">
        <v>42</v>
      </c>
      <c r="C28" s="29"/>
      <c r="D28" s="29"/>
      <c r="E28" s="29"/>
      <c r="F28" s="30">
        <v>1</v>
      </c>
      <c r="G28" s="30">
        <f>+F28*(1+G27)</f>
        <v>1.0481482629109418</v>
      </c>
      <c r="H28" s="30">
        <f t="shared" ref="H28:K28" si="3">+G28*(1+H27)</f>
        <v>1.0966180414517654</v>
      </c>
      <c r="I28" s="30">
        <f t="shared" si="3"/>
        <v>1.1452401445991076</v>
      </c>
      <c r="J28" s="30">
        <f t="shared" si="3"/>
        <v>1.1938363645331267</v>
      </c>
      <c r="K28" s="30">
        <f t="shared" si="3"/>
        <v>1.2422204004496655</v>
      </c>
      <c r="L28" s="5"/>
      <c r="M28" s="5"/>
      <c r="N28" s="5"/>
      <c r="O28" s="5"/>
      <c r="P28" s="5"/>
    </row>
    <row r="29" spans="1:16" x14ac:dyDescent="0.2">
      <c r="B29" s="1" t="s">
        <v>24</v>
      </c>
      <c r="G29" s="5"/>
      <c r="H29" s="5"/>
      <c r="I29" s="5"/>
      <c r="J29" s="5"/>
      <c r="K29" s="5"/>
      <c r="L29" s="5"/>
      <c r="M29" s="5"/>
      <c r="N29" s="5"/>
      <c r="O29" s="5"/>
      <c r="P29" s="5"/>
    </row>
    <row r="31" spans="1:16" x14ac:dyDescent="0.2">
      <c r="B31" s="2" t="s">
        <v>34</v>
      </c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7" x14ac:dyDescent="0.2">
      <c r="C33" s="2" t="s">
        <v>4</v>
      </c>
      <c r="E33" s="4" t="s">
        <v>11</v>
      </c>
      <c r="G33" s="12">
        <f>G23*G17/G20</f>
        <v>17.99188689694164</v>
      </c>
      <c r="H33" s="12">
        <f>H23*H17/H20</f>
        <v>17.864568796248605</v>
      </c>
      <c r="I33" s="12">
        <f>I23*I17/I20</f>
        <v>17.738151651572959</v>
      </c>
      <c r="J33" s="12">
        <f>J23*J17/J20</f>
        <v>17.612629087373911</v>
      </c>
      <c r="K33" s="12">
        <f>K23*K17/K20</f>
        <v>17.487994773226657</v>
      </c>
      <c r="L33" s="5"/>
      <c r="M33" s="5"/>
      <c r="N33" s="5"/>
      <c r="O33" s="5"/>
      <c r="P33" s="5"/>
    </row>
    <row r="34" spans="2:17" x14ac:dyDescent="0.2">
      <c r="C34" s="2" t="s">
        <v>10</v>
      </c>
      <c r="E34" s="4" t="s">
        <v>11</v>
      </c>
      <c r="G34" s="12">
        <f>G18*G23/G20</f>
        <v>1.8612296789939631</v>
      </c>
      <c r="H34" s="12">
        <f>H18*H23/H20</f>
        <v>1.8480588409912346</v>
      </c>
      <c r="I34" s="12">
        <f>I18*I23/I20</f>
        <v>1.8349812053351338</v>
      </c>
      <c r="J34" s="12">
        <f>J18*J23/J20</f>
        <v>1.8219961124869564</v>
      </c>
      <c r="K34" s="12">
        <f>K18*K23/K20</f>
        <v>1.8091029075751712</v>
      </c>
      <c r="L34" s="5"/>
      <c r="M34" s="5"/>
      <c r="N34" s="5"/>
      <c r="O34" s="5"/>
      <c r="P34" s="5"/>
    </row>
    <row r="35" spans="2:17" x14ac:dyDescent="0.2">
      <c r="E35" s="4"/>
      <c r="G35" s="9"/>
      <c r="H35" s="9"/>
      <c r="I35" s="9"/>
      <c r="J35" s="9"/>
      <c r="K35" s="9"/>
      <c r="L35" s="5"/>
      <c r="M35" s="5"/>
      <c r="N35" s="5"/>
      <c r="O35" s="5"/>
      <c r="P35" s="5"/>
    </row>
    <row r="36" spans="2:17" x14ac:dyDescent="0.2">
      <c r="E36" s="4" t="s">
        <v>11</v>
      </c>
      <c r="G36" s="12">
        <f>SUM(G33:G35)</f>
        <v>19.853116575935601</v>
      </c>
      <c r="H36" s="12">
        <f t="shared" ref="H36:K36" si="4">SUM(H33:H35)</f>
        <v>19.712627637239841</v>
      </c>
      <c r="I36" s="12">
        <f t="shared" si="4"/>
        <v>19.573132856908092</v>
      </c>
      <c r="J36" s="12">
        <f t="shared" si="4"/>
        <v>19.434625199860868</v>
      </c>
      <c r="K36" s="12">
        <f t="shared" si="4"/>
        <v>19.297097680801826</v>
      </c>
      <c r="L36" s="5"/>
      <c r="M36" s="15"/>
      <c r="N36" s="5"/>
      <c r="O36" s="5"/>
      <c r="P36" s="5"/>
    </row>
    <row r="37" spans="2:17" x14ac:dyDescent="0.2">
      <c r="B37" s="12"/>
      <c r="E37" s="4"/>
      <c r="H37" s="12"/>
      <c r="I37" s="12"/>
      <c r="J37" s="12"/>
      <c r="K37" s="12"/>
      <c r="L37" s="5"/>
      <c r="M37" s="5"/>
      <c r="N37" s="5"/>
      <c r="O37" s="5"/>
      <c r="P37" s="5"/>
    </row>
    <row r="38" spans="2:17" x14ac:dyDescent="0.2">
      <c r="B38" s="2" t="s">
        <v>28</v>
      </c>
      <c r="E38" s="4"/>
      <c r="G38" s="16"/>
      <c r="H38" s="16"/>
      <c r="I38" s="16"/>
      <c r="J38" s="16"/>
      <c r="K38" s="16"/>
      <c r="L38" s="5"/>
      <c r="M38" s="5"/>
      <c r="N38" s="5"/>
      <c r="O38" s="5"/>
      <c r="P38" s="5"/>
    </row>
    <row r="39" spans="2:17" x14ac:dyDescent="0.2">
      <c r="E39" s="4"/>
      <c r="G39" s="16"/>
      <c r="H39" s="16"/>
      <c r="I39" s="16"/>
      <c r="J39" s="16"/>
      <c r="K39" s="16"/>
      <c r="L39" s="5"/>
      <c r="M39" s="5"/>
      <c r="N39" s="5"/>
      <c r="O39" s="5"/>
      <c r="P39" s="5"/>
    </row>
    <row r="40" spans="2:17" x14ac:dyDescent="0.2">
      <c r="C40" s="2" t="s">
        <v>38</v>
      </c>
      <c r="E40" s="4" t="s">
        <v>11</v>
      </c>
      <c r="G40" s="17">
        <f>G33</f>
        <v>17.99188689694164</v>
      </c>
      <c r="H40" s="17">
        <f t="shared" ref="H40:K40" si="5">H33</f>
        <v>17.864568796248605</v>
      </c>
      <c r="I40" s="17">
        <f t="shared" si="5"/>
        <v>17.738151651572959</v>
      </c>
      <c r="J40" s="17">
        <f t="shared" si="5"/>
        <v>17.612629087373911</v>
      </c>
      <c r="K40" s="17">
        <f t="shared" si="5"/>
        <v>17.487994773226657</v>
      </c>
      <c r="L40" s="5"/>
      <c r="M40" s="5"/>
      <c r="N40" s="5"/>
      <c r="O40" s="5"/>
      <c r="P40" s="5"/>
    </row>
    <row r="41" spans="2:17" x14ac:dyDescent="0.2">
      <c r="C41" s="2" t="s">
        <v>4</v>
      </c>
      <c r="E41" s="4" t="s">
        <v>31</v>
      </c>
      <c r="G41" s="18">
        <f>G17</f>
        <v>52925000</v>
      </c>
      <c r="H41" s="18">
        <f>H17</f>
        <v>52925000</v>
      </c>
      <c r="I41" s="18">
        <f>I17</f>
        <v>53070000</v>
      </c>
      <c r="J41" s="18">
        <f>J17</f>
        <v>52925000</v>
      </c>
      <c r="K41" s="18">
        <f>K17</f>
        <v>52925000</v>
      </c>
      <c r="L41" s="5"/>
      <c r="M41" s="5"/>
      <c r="N41" s="5"/>
      <c r="O41" s="5"/>
      <c r="P41" s="5"/>
    </row>
    <row r="42" spans="2:17" x14ac:dyDescent="0.2">
      <c r="E42" s="4"/>
      <c r="G42" s="18"/>
      <c r="H42" s="18"/>
      <c r="I42" s="18"/>
      <c r="J42" s="18"/>
      <c r="K42" s="18"/>
      <c r="L42" s="5"/>
      <c r="M42" s="5"/>
      <c r="N42" s="5"/>
      <c r="O42" s="5"/>
      <c r="P42" s="5"/>
    </row>
    <row r="43" spans="2:17" x14ac:dyDescent="0.2">
      <c r="C43" s="2" t="s">
        <v>29</v>
      </c>
      <c r="E43" s="4" t="s">
        <v>12</v>
      </c>
      <c r="F43" s="31">
        <v>0.54700000000000004</v>
      </c>
      <c r="G43" s="19">
        <f>G40*1000000/G41</f>
        <v>0.33995062630026718</v>
      </c>
      <c r="H43" s="19">
        <f>G43*G41*(1-H25)*(1+H26)/H41</f>
        <v>0.33754499378835334</v>
      </c>
      <c r="I43" s="19">
        <f>H43*H41*(1-I25)*(1+I26)/I41</f>
        <v>0.3342406567094961</v>
      </c>
      <c r="J43" s="19">
        <f>I43*I41*(1-J25)*(1+J26)/J41</f>
        <v>0.33278467807980938</v>
      </c>
      <c r="K43" s="19">
        <f>J43*J41*(1-K25)*(1+K26)/K41</f>
        <v>0.33042975480825049</v>
      </c>
      <c r="L43" s="5"/>
      <c r="M43" s="13"/>
      <c r="N43" s="13"/>
      <c r="O43" s="13"/>
      <c r="P43" s="13"/>
      <c r="Q43" s="13"/>
    </row>
    <row r="44" spans="2:17" x14ac:dyDescent="0.2">
      <c r="D44" s="29" t="s">
        <v>40</v>
      </c>
      <c r="E44" s="32"/>
      <c r="F44" s="29"/>
      <c r="G44" s="33">
        <f>+G43/F43-1</f>
        <v>-0.37851805063936539</v>
      </c>
      <c r="H44" s="33">
        <f>+H43/G43-1</f>
        <v>-7.076417355351583E-3</v>
      </c>
      <c r="I44" s="33">
        <f t="shared" ref="I44:K44" si="6">+I43/H43-1</f>
        <v>-9.7893233188613982E-3</v>
      </c>
      <c r="J44" s="33">
        <f t="shared" si="6"/>
        <v>-4.3560787727633388E-3</v>
      </c>
      <c r="K44" s="33">
        <f t="shared" si="6"/>
        <v>-7.0764173553511389E-3</v>
      </c>
      <c r="L44" s="5"/>
      <c r="M44" s="5"/>
      <c r="N44" s="5"/>
      <c r="O44" s="5"/>
      <c r="P44" s="5"/>
    </row>
    <row r="45" spans="2:17" x14ac:dyDescent="0.2">
      <c r="D45" s="29" t="s">
        <v>41</v>
      </c>
      <c r="E45" s="32"/>
      <c r="F45" s="29"/>
      <c r="G45" s="34">
        <f>+-((1+G44)/(1+G26)-1)</f>
        <v>0.39070031093968072</v>
      </c>
      <c r="H45" s="34">
        <f>+-((1+H44)/(1+H26)-1)</f>
        <v>2.6539659295914619E-2</v>
      </c>
      <c r="I45" s="34">
        <f>+-((1+I44)/(1+I26)-1)</f>
        <v>2.9199387002756261E-2</v>
      </c>
      <c r="J45" s="34">
        <f>+-((1+J44)/(1+J26)-1)</f>
        <v>2.3872644663848419E-2</v>
      </c>
      <c r="K45" s="34">
        <f>+-((1+K44)/(1+K26)-1)</f>
        <v>2.6539659295914175E-2</v>
      </c>
      <c r="L45" s="5"/>
      <c r="M45" s="5"/>
      <c r="N45" s="5"/>
      <c r="O45" s="5"/>
      <c r="P45" s="5"/>
    </row>
    <row r="46" spans="2:17" x14ac:dyDescent="0.2">
      <c r="E46" s="4"/>
      <c r="G46" s="16"/>
      <c r="H46" s="27"/>
      <c r="I46" s="27"/>
      <c r="J46" s="27"/>
      <c r="K46" s="27"/>
      <c r="L46" s="5"/>
      <c r="M46" s="5"/>
      <c r="N46" s="5"/>
      <c r="O46" s="5"/>
      <c r="P46" s="5"/>
    </row>
    <row r="47" spans="2:17" x14ac:dyDescent="0.2">
      <c r="B47" s="2" t="s">
        <v>30</v>
      </c>
      <c r="E47" s="4"/>
      <c r="G47" s="16"/>
      <c r="L47" s="5"/>
      <c r="M47" s="5"/>
      <c r="N47" s="5"/>
      <c r="O47" s="5"/>
      <c r="P47" s="5"/>
    </row>
    <row r="48" spans="2:17" x14ac:dyDescent="0.2">
      <c r="E48" s="4"/>
      <c r="G48" s="16"/>
      <c r="H48" s="16"/>
      <c r="I48" s="16"/>
      <c r="J48" s="16"/>
      <c r="K48" s="16"/>
      <c r="L48" s="5"/>
      <c r="M48" s="5"/>
      <c r="N48" s="5"/>
      <c r="O48" s="5"/>
      <c r="P48" s="5"/>
    </row>
    <row r="49" spans="2:16" x14ac:dyDescent="0.2">
      <c r="C49" s="2" t="s">
        <v>39</v>
      </c>
      <c r="E49" s="4" t="s">
        <v>11</v>
      </c>
      <c r="G49" s="16">
        <f>G34</f>
        <v>1.8612296789939631</v>
      </c>
      <c r="H49" s="16">
        <f t="shared" ref="H49:K49" si="7">H34</f>
        <v>1.8480588409912346</v>
      </c>
      <c r="I49" s="16">
        <f t="shared" si="7"/>
        <v>1.8349812053351338</v>
      </c>
      <c r="J49" s="16">
        <f t="shared" si="7"/>
        <v>1.8219961124869564</v>
      </c>
      <c r="K49" s="16">
        <f t="shared" si="7"/>
        <v>1.8091029075751712</v>
      </c>
      <c r="L49" s="5"/>
      <c r="M49" s="5"/>
      <c r="N49" s="5"/>
      <c r="O49" s="5"/>
      <c r="P49" s="5"/>
    </row>
    <row r="50" spans="2:16" x14ac:dyDescent="0.2">
      <c r="C50" s="2" t="s">
        <v>10</v>
      </c>
      <c r="E50" s="4" t="s">
        <v>13</v>
      </c>
      <c r="G50" s="18">
        <f>G18</f>
        <v>5475000</v>
      </c>
      <c r="H50" s="18">
        <f>H18</f>
        <v>5475000</v>
      </c>
      <c r="I50" s="18">
        <f>I18</f>
        <v>5490000</v>
      </c>
      <c r="J50" s="18">
        <f>J18</f>
        <v>5475000</v>
      </c>
      <c r="K50" s="18">
        <f>K18</f>
        <v>5475000</v>
      </c>
      <c r="L50" s="5"/>
      <c r="M50" s="5"/>
      <c r="N50" s="5"/>
      <c r="O50" s="5"/>
      <c r="P50" s="5"/>
    </row>
    <row r="51" spans="2:16" x14ac:dyDescent="0.2">
      <c r="E51" s="4"/>
      <c r="G51" s="16"/>
      <c r="H51" s="16"/>
      <c r="I51" s="16"/>
      <c r="J51" s="16"/>
      <c r="K51" s="16"/>
      <c r="L51" s="5"/>
      <c r="M51" s="5"/>
      <c r="N51" s="5"/>
      <c r="O51" s="5"/>
      <c r="P51" s="5"/>
    </row>
    <row r="52" spans="2:16" x14ac:dyDescent="0.2">
      <c r="C52" s="2" t="s">
        <v>32</v>
      </c>
      <c r="E52" s="4" t="s">
        <v>35</v>
      </c>
      <c r="F52" s="31">
        <f>+F43</f>
        <v>0.54700000000000004</v>
      </c>
      <c r="G52" s="19">
        <f>G49*1000000/G50</f>
        <v>0.33995062630026723</v>
      </c>
      <c r="H52" s="19">
        <f>G52*G50*(1-H25)*(1+H26)/H50</f>
        <v>0.33754499378835345</v>
      </c>
      <c r="I52" s="19">
        <f>H52*H50*(1-I25)*(1+I26)/I50</f>
        <v>0.33424065670949621</v>
      </c>
      <c r="J52" s="19">
        <f>I52*I50*(1-J25)*(1+J26)/J50</f>
        <v>0.33278467807980949</v>
      </c>
      <c r="K52" s="19">
        <f>J52*J50*(1-K25)*(1+K26)/K50</f>
        <v>0.33042975480825049</v>
      </c>
      <c r="L52" s="5"/>
      <c r="M52" s="5"/>
      <c r="N52" s="5"/>
      <c r="O52" s="5"/>
      <c r="P52" s="5"/>
    </row>
    <row r="53" spans="2:16" x14ac:dyDescent="0.2">
      <c r="D53" s="29" t="s">
        <v>40</v>
      </c>
      <c r="E53" s="29"/>
      <c r="F53" s="29"/>
      <c r="G53" s="33">
        <f>+G52/F52-1</f>
        <v>-0.37851805063936528</v>
      </c>
      <c r="H53" s="33">
        <f>+H52/G52-1</f>
        <v>-7.076417355351361E-3</v>
      </c>
      <c r="I53" s="33">
        <f t="shared" ref="I53" si="8">+I52/H52-1</f>
        <v>-9.7893233188613982E-3</v>
      </c>
      <c r="J53" s="33">
        <f t="shared" ref="J53" si="9">+J52/I52-1</f>
        <v>-4.3560787727633388E-3</v>
      </c>
      <c r="K53" s="33">
        <f t="shared" ref="K53" si="10">+K52/J52-1</f>
        <v>-7.076417355351472E-3</v>
      </c>
      <c r="L53" s="5"/>
      <c r="M53" s="5"/>
      <c r="N53" s="5"/>
      <c r="O53" s="5"/>
      <c r="P53" s="5"/>
    </row>
    <row r="54" spans="2:16" x14ac:dyDescent="0.2">
      <c r="D54" s="29" t="s">
        <v>41</v>
      </c>
      <c r="E54" s="29"/>
      <c r="F54" s="29"/>
      <c r="G54" s="34">
        <f>+-((1+G53)/(1+G26)-1)</f>
        <v>0.39070031093968061</v>
      </c>
      <c r="H54" s="34">
        <f>+-((1+H53)/(1+H26)-1)</f>
        <v>2.6539659295914397E-2</v>
      </c>
      <c r="I54" s="34">
        <f>+-((1+I53)/(1+I26)-1)</f>
        <v>2.9199387002756261E-2</v>
      </c>
      <c r="J54" s="34">
        <f>+-((1+J53)/(1+J26)-1)</f>
        <v>2.3872644663848419E-2</v>
      </c>
      <c r="K54" s="34">
        <f>+-((1+K53)/(1+K26)-1)</f>
        <v>2.6539659295914508E-2</v>
      </c>
      <c r="L54" s="5"/>
      <c r="M54" s="5"/>
      <c r="N54" s="5"/>
      <c r="O54" s="5"/>
      <c r="P54" s="5"/>
    </row>
    <row r="55" spans="2:16" x14ac:dyDescent="0.2">
      <c r="G55" s="13"/>
      <c r="H55" s="27"/>
      <c r="I55" s="27"/>
      <c r="J55" s="27"/>
      <c r="K55" s="27"/>
      <c r="L55" s="5"/>
      <c r="M55" s="5"/>
      <c r="N55" s="5"/>
      <c r="O55" s="5"/>
      <c r="P55" s="5"/>
    </row>
    <row r="56" spans="2:16" x14ac:dyDescent="0.2">
      <c r="B56" s="2" t="s">
        <v>14</v>
      </c>
      <c r="G56" s="5"/>
      <c r="L56" s="5"/>
      <c r="M56" s="5"/>
      <c r="N56" s="5"/>
      <c r="O56" s="5"/>
      <c r="P56" s="5"/>
    </row>
    <row r="57" spans="2:16" x14ac:dyDescent="0.2">
      <c r="D57" s="2" t="s">
        <v>4</v>
      </c>
      <c r="E57" s="4" t="s">
        <v>11</v>
      </c>
      <c r="G57" s="12">
        <f>G41*G43/1000000</f>
        <v>17.99188689694164</v>
      </c>
      <c r="H57" s="12">
        <f>H41*H43/1000000</f>
        <v>17.864568796248602</v>
      </c>
      <c r="I57" s="12">
        <f>I41*I43/1000000</f>
        <v>17.738151651572959</v>
      </c>
      <c r="J57" s="12">
        <f>J41*J43/1000000</f>
        <v>17.612629087373911</v>
      </c>
      <c r="K57" s="12">
        <f>K41*K43/1000000</f>
        <v>17.487994773226657</v>
      </c>
      <c r="L57" s="5"/>
      <c r="M57" s="5"/>
      <c r="N57" s="5"/>
      <c r="O57" s="5"/>
      <c r="P57" s="5"/>
    </row>
    <row r="58" spans="2:16" x14ac:dyDescent="0.2">
      <c r="D58" s="2" t="s">
        <v>10</v>
      </c>
      <c r="E58" s="4" t="s">
        <v>11</v>
      </c>
      <c r="G58" s="12">
        <f>G50*G52/1000000</f>
        <v>1.8612296789939631</v>
      </c>
      <c r="H58" s="12">
        <f>H50*H52/1000000</f>
        <v>1.8480588409912351</v>
      </c>
      <c r="I58" s="12">
        <f>I50*I52/1000000</f>
        <v>1.8349812053351342</v>
      </c>
      <c r="J58" s="12">
        <f>J50*J52/1000000</f>
        <v>1.8219961124869568</v>
      </c>
      <c r="K58" s="12">
        <f>K50*K52/1000000</f>
        <v>1.8091029075751714</v>
      </c>
      <c r="L58" s="5"/>
      <c r="M58" s="5"/>
      <c r="N58" s="5"/>
      <c r="O58" s="5"/>
      <c r="P58" s="5"/>
    </row>
    <row r="59" spans="2:16" x14ac:dyDescent="0.2">
      <c r="E59" s="4"/>
      <c r="G59" s="9"/>
      <c r="H59" s="9"/>
      <c r="I59" s="9"/>
      <c r="J59" s="9"/>
      <c r="K59" s="9"/>
      <c r="L59" s="5"/>
      <c r="M59" s="5"/>
      <c r="N59" s="5"/>
      <c r="O59" s="5"/>
      <c r="P59" s="5"/>
    </row>
    <row r="60" spans="2:16" x14ac:dyDescent="0.2">
      <c r="E60" s="4" t="s">
        <v>11</v>
      </c>
      <c r="G60" s="12">
        <f>SUM(G57:G59)</f>
        <v>19.853116575935601</v>
      </c>
      <c r="H60" s="12">
        <f t="shared" ref="H60:K60" si="11">SUM(H57:H59)</f>
        <v>19.712627637239837</v>
      </c>
      <c r="I60" s="12">
        <f t="shared" si="11"/>
        <v>19.573132856908092</v>
      </c>
      <c r="J60" s="12">
        <f t="shared" si="11"/>
        <v>19.434625199860868</v>
      </c>
      <c r="K60" s="12">
        <f t="shared" si="11"/>
        <v>19.297097680801826</v>
      </c>
      <c r="L60" s="5"/>
      <c r="M60" s="5"/>
      <c r="N60" s="5"/>
      <c r="O60" s="5"/>
      <c r="P60" s="5"/>
    </row>
    <row r="61" spans="2:16" x14ac:dyDescent="0.2">
      <c r="F61" s="14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2:16" x14ac:dyDescent="0.2">
      <c r="B62" s="2" t="s">
        <v>15</v>
      </c>
      <c r="E62" s="4" t="s">
        <v>11</v>
      </c>
      <c r="F62" s="35">
        <f>+G57/G$28+H57/H$28+I57/I$28+J57/J$28+K57/K$28</f>
        <v>77.775572645534325</v>
      </c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16" x14ac:dyDescent="0.2">
      <c r="B63" s="2" t="s">
        <v>16</v>
      </c>
      <c r="E63" s="4" t="s">
        <v>11</v>
      </c>
      <c r="F63" s="35">
        <f>+G58/G$28+H58/H$28+I58/I$28+J58/J$28+K58/K$28</f>
        <v>8.0457488943656212</v>
      </c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2">
      <c r="E64" s="4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2">
      <c r="B65" s="2" t="s">
        <v>17</v>
      </c>
      <c r="E65" s="4" t="s">
        <v>11</v>
      </c>
      <c r="F65" s="20">
        <f>SUM(F62:F64)</f>
        <v>85.821321539899941</v>
      </c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2">
      <c r="E66" s="4"/>
      <c r="F66" s="20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2">
      <c r="B67" s="2" t="s">
        <v>23</v>
      </c>
      <c r="E67" s="4" t="s">
        <v>11</v>
      </c>
      <c r="F67" s="39">
        <v>85.821321539899941</v>
      </c>
    </row>
    <row r="68" spans="2:16" x14ac:dyDescent="0.2">
      <c r="F68" s="6"/>
    </row>
    <row r="69" spans="2:16" x14ac:dyDescent="0.2">
      <c r="B69" s="2" t="s">
        <v>36</v>
      </c>
      <c r="E69" s="4" t="s">
        <v>11</v>
      </c>
      <c r="F69" s="21">
        <f>F65-F67</f>
        <v>0</v>
      </c>
    </row>
    <row r="70" spans="2:16" x14ac:dyDescent="0.2">
      <c r="B70" s="6"/>
      <c r="C70" s="6"/>
      <c r="D70" s="6"/>
      <c r="E70" s="6"/>
      <c r="F70" s="6"/>
      <c r="G70" s="6"/>
      <c r="H70" s="6"/>
      <c r="I70" s="6"/>
      <c r="J70" s="6"/>
      <c r="K70" s="6"/>
    </row>
    <row r="73" spans="2:16" x14ac:dyDescent="0.2">
      <c r="G73" s="13"/>
      <c r="H73" s="13"/>
      <c r="I73" s="13"/>
      <c r="J73" s="13"/>
      <c r="K73" s="13"/>
    </row>
    <row r="74" spans="2:16" x14ac:dyDescent="0.2">
      <c r="G74" s="13"/>
      <c r="H74" s="13"/>
      <c r="I74" s="13"/>
      <c r="J74" s="13"/>
      <c r="K74" s="13"/>
    </row>
  </sheetData>
  <mergeCells count="1">
    <mergeCell ref="G2:J2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A8BA0E302B3D479D80EFAD23C41BF5" ma:contentTypeVersion="4" ma:contentTypeDescription="Create a new document." ma:contentTypeScope="" ma:versionID="b96f3ccff6924c6d1720960ef4a8a944">
  <xsd:schema xmlns:xsd="http://www.w3.org/2001/XMLSchema" xmlns:xs="http://www.w3.org/2001/XMLSchema" xmlns:p="http://schemas.microsoft.com/office/2006/metadata/properties" xmlns:ns3="76b55805-ba65-43fc-975c-9523410ee8e0" targetNamespace="http://schemas.microsoft.com/office/2006/metadata/properties" ma:root="true" ma:fieldsID="2042be583187f10a79f2c9ea78e65f60" ns3:_="">
    <xsd:import namespace="76b55805-ba65-43fc-975c-9523410ee8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5805-ba65-43fc-975c-9523410ee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C96294-D07E-4CBD-8341-CF9E8A334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55805-ba65-43fc-975c-9523410ee8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B83037-73F0-4B62-9D92-28F1FE7C5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D5C7A3-4828-480E-8BB7-0C36AF0D91FD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76b55805-ba65-43fc-975c-9523410ee8e0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Reference tariffs</vt:lpstr>
      <vt:lpstr>P_0_RevCap</vt:lpstr>
      <vt:lpstr>s_rev_00_RevCap</vt:lpstr>
      <vt:lpstr>s_rev_01_RevCap</vt:lpstr>
      <vt:lpstr>s_rev_02_RevCap</vt:lpstr>
      <vt:lpstr>s_rev_03_RevCap</vt:lpstr>
      <vt:lpstr>s_rev_04_RevCap</vt:lpstr>
      <vt:lpstr>total_rev_02</vt:lpstr>
      <vt:lpstr>total_rev_03</vt:lpstr>
      <vt:lpstr>total_rev_04</vt:lpstr>
      <vt:lpstr>total_rev_05</vt:lpstr>
      <vt:lpstr>X_02_RevCap</vt:lpstr>
      <vt:lpstr>X_03_RevCap</vt:lpstr>
      <vt:lpstr>X_04_RevCap</vt:lpstr>
      <vt:lpstr>X_05_RevCap</vt:lpstr>
    </vt:vector>
  </TitlesOfParts>
  <Company>APA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John</dc:creator>
  <cp:lastModifiedBy>Jane Kelly</cp:lastModifiedBy>
  <dcterms:created xsi:type="dcterms:W3CDTF">2020-04-21T00:08:19Z</dcterms:created>
  <dcterms:modified xsi:type="dcterms:W3CDTF">2021-04-28T01:25:32Z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0x010100D8A8BA0E302B3D479D80EFAD23C41BF5</vt:lpwstr>
  </property>
  <property fmtid="{D5CDD505-2E9C-101B-9397-08002B2CF9AE}" pid="3" name="_MarkAsFinal">
    <vt:bool>true</vt:bool>
  </property>
</Properties>
</file>