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1560" windowWidth="17070" windowHeight="421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 concurrentCalc="0"/>
</workbook>
</file>

<file path=xl/calcChain.xml><?xml version="1.0" encoding="utf-8"?>
<calcChain xmlns="http://schemas.openxmlformats.org/spreadsheetml/2006/main">
  <c r="P102" i="42" l="1"/>
  <c r="Q102" i="42"/>
  <c r="R102" i="42"/>
  <c r="S102" i="42"/>
  <c r="O102" i="42"/>
  <c r="T38" i="2"/>
  <c r="S38" i="2"/>
  <c r="R38" i="2"/>
  <c r="Q38" i="2"/>
  <c r="F58" i="55"/>
  <c r="F56" i="55"/>
  <c r="C95" i="2" a="1"/>
  <c r="C98" i="2"/>
  <c r="T91" i="2"/>
  <c r="T91" i="2" a="1"/>
  <c r="S91" i="2" a="1"/>
  <c r="S91" i="2"/>
  <c r="R91" i="2"/>
  <c r="R91" i="2" a="1"/>
  <c r="Q91" i="2" a="1"/>
  <c r="Q91" i="2"/>
  <c r="P91" i="2"/>
  <c r="P91" i="2" a="1"/>
  <c r="O91" i="2" a="1"/>
  <c r="O91" i="2"/>
  <c r="N91" i="2"/>
  <c r="N91" i="2" a="1"/>
  <c r="M91" i="2" a="1"/>
  <c r="M91" i="2"/>
  <c r="L91" i="2"/>
  <c r="L91" i="2" a="1"/>
  <c r="K91" i="2" a="1"/>
  <c r="K91" i="2"/>
  <c r="W91" i="2"/>
  <c r="J91" i="2"/>
  <c r="J91" i="2" a="1"/>
  <c r="C95" i="2"/>
  <c r="C96" i="2"/>
  <c r="C97" i="2"/>
  <c r="F60" i="55"/>
  <c r="F62" i="55"/>
  <c r="F61" i="55"/>
  <c r="F55" i="55"/>
  <c r="F59" i="55"/>
  <c r="F57" i="55"/>
  <c r="P38" i="2"/>
  <c r="F38" i="53"/>
  <c r="F19" i="42"/>
  <c r="F8" i="42"/>
  <c r="F8" i="44"/>
  <c r="F24" i="42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/>
  <c r="F28" i="42"/>
  <c r="F29" i="42"/>
  <c r="C29" i="42"/>
  <c r="E65" i="58"/>
  <c r="E28" i="42"/>
  <c r="F35" i="42"/>
  <c r="E35" i="42"/>
  <c r="K53" i="58"/>
  <c r="L53" i="58"/>
  <c r="M53" i="58"/>
  <c r="N53" i="58"/>
  <c r="O53" i="58"/>
  <c r="P53" i="58"/>
  <c r="Q53" i="58"/>
  <c r="R53" i="58"/>
  <c r="S53" i="58"/>
  <c r="J53" i="58"/>
  <c r="K44" i="58"/>
  <c r="L44" i="58"/>
  <c r="M44" i="58"/>
  <c r="N44" i="58"/>
  <c r="O44" i="58"/>
  <c r="P44" i="58"/>
  <c r="Q44" i="58"/>
  <c r="R44" i="58"/>
  <c r="S44" i="58"/>
  <c r="J44" i="58"/>
  <c r="F44" i="58"/>
  <c r="E44" i="58"/>
  <c r="G70" i="4"/>
  <c r="G71" i="4"/>
  <c r="G72" i="4"/>
  <c r="G73" i="4"/>
  <c r="G74" i="4"/>
  <c r="G65" i="4"/>
  <c r="G66" i="4"/>
  <c r="G67" i="4"/>
  <c r="G68" i="4"/>
  <c r="G6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S4" i="2"/>
  <c r="R4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R4" i="58"/>
  <c r="R34" i="58"/>
  <c r="Q4" i="58"/>
  <c r="P4" i="58"/>
  <c r="P57" i="58"/>
  <c r="O4" i="58"/>
  <c r="N4" i="58"/>
  <c r="N34" i="58"/>
  <c r="M4" i="58"/>
  <c r="L4" i="58"/>
  <c r="L57" i="58"/>
  <c r="K4" i="58"/>
  <c r="K57" i="58"/>
  <c r="J4" i="58"/>
  <c r="J57" i="58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S93" i="2"/>
  <c r="S73" i="2"/>
  <c r="T93" i="2"/>
  <c r="T73" i="2"/>
  <c r="R93" i="2"/>
  <c r="R96" i="2"/>
  <c r="R73" i="2"/>
  <c r="R97" i="2"/>
  <c r="R95" i="2"/>
  <c r="R98" i="2"/>
  <c r="K97" i="2"/>
  <c r="K98" i="2"/>
  <c r="K95" i="2"/>
  <c r="K96" i="2"/>
  <c r="O97" i="2"/>
  <c r="O98" i="2"/>
  <c r="O96" i="2"/>
  <c r="O95" i="2"/>
  <c r="S97" i="2"/>
  <c r="S98" i="2"/>
  <c r="S95" i="2"/>
  <c r="S96" i="2"/>
  <c r="N96" i="2"/>
  <c r="N97" i="2"/>
  <c r="N98" i="2"/>
  <c r="N95" i="2"/>
  <c r="L98" i="2"/>
  <c r="L95" i="2"/>
  <c r="L97" i="2"/>
  <c r="L96" i="2"/>
  <c r="P98" i="2"/>
  <c r="P95" i="2"/>
  <c r="P96" i="2"/>
  <c r="P97" i="2"/>
  <c r="T98" i="2"/>
  <c r="T95" i="2"/>
  <c r="T97" i="2"/>
  <c r="T96" i="2"/>
  <c r="M95" i="2"/>
  <c r="M96" i="2"/>
  <c r="M97" i="2"/>
  <c r="M98" i="2"/>
  <c r="Q95" i="2"/>
  <c r="Q96" i="2"/>
  <c r="Q98" i="2"/>
  <c r="Q97" i="2"/>
  <c r="J96" i="2"/>
  <c r="J97" i="2"/>
  <c r="J95" i="2"/>
  <c r="J98" i="2"/>
  <c r="J35" i="42"/>
  <c r="J23" i="42"/>
  <c r="J21" i="42"/>
  <c r="J19" i="42"/>
  <c r="L35" i="42"/>
  <c r="L23" i="42"/>
  <c r="L21" i="42"/>
  <c r="L19" i="42"/>
  <c r="N23" i="42"/>
  <c r="N21" i="42"/>
  <c r="N19" i="42"/>
  <c r="P35" i="42"/>
  <c r="P23" i="42"/>
  <c r="P21" i="42"/>
  <c r="P19" i="42"/>
  <c r="R35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35" i="42"/>
  <c r="Q23" i="42"/>
  <c r="Q21" i="42"/>
  <c r="Q19" i="42"/>
  <c r="S35" i="42"/>
  <c r="S23" i="42"/>
  <c r="S21" i="42"/>
  <c r="S19" i="42"/>
  <c r="J33" i="42"/>
  <c r="P33" i="42"/>
  <c r="R33" i="42"/>
  <c r="Q33" i="42"/>
  <c r="S33" i="42"/>
  <c r="L12" i="42"/>
  <c r="L33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N57" i="58"/>
  <c r="R57" i="58"/>
  <c r="S10" i="2"/>
  <c r="O10" i="2"/>
  <c r="K10" i="2"/>
  <c r="M14" i="2"/>
  <c r="Q14" i="2"/>
  <c r="J23" i="2"/>
  <c r="K73" i="2"/>
  <c r="O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57" i="58"/>
  <c r="O34" i="58"/>
  <c r="O10" i="58"/>
  <c r="S57" i="58"/>
  <c r="S34" i="58"/>
  <c r="S10" i="58"/>
  <c r="L62" i="2"/>
  <c r="L73" i="2"/>
  <c r="L14" i="2"/>
  <c r="L10" i="2"/>
  <c r="P62" i="2"/>
  <c r="P73" i="2"/>
  <c r="P14" i="2"/>
  <c r="P10" i="2"/>
  <c r="R62" i="2"/>
  <c r="R14" i="2"/>
  <c r="R10" i="2"/>
  <c r="T62" i="2"/>
  <c r="T14" i="2"/>
  <c r="T10" i="2"/>
  <c r="J26" i="53"/>
  <c r="J10" i="53"/>
  <c r="R26" i="53"/>
  <c r="R10" i="53"/>
  <c r="L49" i="42"/>
  <c r="M57" i="58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57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L31" i="42"/>
  <c r="S31" i="42"/>
  <c r="Q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/>
  <c r="M28" i="42"/>
  <c r="S28" i="42"/>
  <c r="R28" i="42"/>
  <c r="P28" i="42"/>
  <c r="J28" i="42"/>
  <c r="O28" i="42"/>
  <c r="N28" i="42"/>
  <c r="K28" i="42"/>
  <c r="L28" i="42"/>
  <c r="E63" i="58"/>
  <c r="E49" i="42"/>
  <c r="E62" i="58"/>
  <c r="E46" i="42"/>
  <c r="E61" i="58"/>
  <c r="E43" i="42"/>
  <c r="E60" i="58"/>
  <c r="E59" i="58"/>
  <c r="E37" i="42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/>
  <c r="C1" i="58"/>
  <c r="F23" i="42"/>
  <c r="F21" i="42"/>
  <c r="E21" i="42"/>
  <c r="E23" i="42"/>
  <c r="E40" i="42"/>
  <c r="E19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K14" i="42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L88" i="42"/>
  <c r="L72" i="42"/>
  <c r="L58" i="42"/>
  <c r="L61" i="42"/>
  <c r="N88" i="42"/>
  <c r="N72" i="42"/>
  <c r="N58" i="42"/>
  <c r="N61" i="42"/>
  <c r="P88" i="42"/>
  <c r="P72" i="42"/>
  <c r="P58" i="42"/>
  <c r="P61" i="42"/>
  <c r="R88" i="42"/>
  <c r="R72" i="42"/>
  <c r="R58" i="42"/>
  <c r="R61" i="42"/>
  <c r="K58" i="42"/>
  <c r="M58" i="42"/>
  <c r="M61" i="42"/>
  <c r="O58" i="42"/>
  <c r="O61" i="42"/>
  <c r="Q58" i="42"/>
  <c r="Q61" i="42"/>
  <c r="S58" i="42"/>
  <c r="S61" i="42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K68" i="42" a="1"/>
  <c r="K68" i="42"/>
  <c r="K61" i="42"/>
  <c r="J68" i="42" a="1"/>
  <c r="J68" i="42"/>
  <c r="J61" i="42"/>
  <c r="W71" i="2"/>
  <c r="W22" i="53"/>
  <c r="W40" i="53"/>
  <c r="W32" i="53"/>
  <c r="W58" i="2"/>
  <c r="W106" i="2"/>
  <c r="P45" i="2"/>
  <c r="S45" i="2"/>
  <c r="Q45" i="2"/>
  <c r="R45" i="2"/>
  <c r="T45" i="2"/>
  <c r="W45" i="2"/>
  <c r="C50" i="42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/>
  <c r="E102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T1" i="55"/>
  <c r="G11" i="16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/>
  <c r="C12" i="16"/>
  <c r="D12" i="16"/>
  <c r="C13" i="16"/>
  <c r="D13" i="16"/>
  <c r="C14" i="16"/>
  <c r="D14" i="16"/>
  <c r="C15" i="16"/>
  <c r="D15" i="16"/>
  <c r="C16" i="16"/>
  <c r="D16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/>
  <c r="K67" i="42"/>
  <c r="L67" i="42"/>
  <c r="R67" i="42"/>
  <c r="T1" i="2"/>
  <c r="G13" i="16"/>
  <c r="S1" i="54"/>
  <c r="G10" i="16"/>
  <c r="N67" i="42"/>
  <c r="J67" i="42"/>
  <c r="M68" i="42" a="1"/>
  <c r="M68" i="42"/>
  <c r="L68" i="42" a="1"/>
  <c r="L68" i="42"/>
  <c r="N68" i="42" a="1"/>
  <c r="N68" i="42"/>
  <c r="S1" i="16"/>
  <c r="C25" i="2" a="1"/>
  <c r="C16" i="2" a="1"/>
  <c r="P67" i="42"/>
  <c r="O67" i="42"/>
  <c r="S67" i="42"/>
  <c r="Q67" i="42"/>
  <c r="S68" i="42" a="1"/>
  <c r="S68" i="42"/>
  <c r="Q68" i="42" a="1"/>
  <c r="Q68" i="42"/>
  <c r="R68" i="42" a="1"/>
  <c r="R68" i="42"/>
  <c r="O68" i="42" a="1"/>
  <c r="O68" i="42"/>
  <c r="P68" i="42" a="1"/>
  <c r="P68" i="42"/>
  <c r="W1" i="55"/>
  <c r="V1" i="58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O21" i="2"/>
  <c r="N21" i="2"/>
  <c r="M19" i="2"/>
  <c r="N20" i="2"/>
  <c r="J16" i="2"/>
  <c r="K16" i="2"/>
  <c r="K25" i="2"/>
  <c r="K17" i="2"/>
  <c r="L18" i="2"/>
  <c r="J29" i="42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J50" i="42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P13" i="42"/>
  <c r="P26" i="42"/>
  <c r="T25" i="2"/>
  <c r="S25" i="2"/>
  <c r="R25" i="2"/>
  <c r="E27" i="2"/>
  <c r="D27" i="2"/>
  <c r="Q27" i="2"/>
  <c r="T27" i="2"/>
  <c r="L27" i="2"/>
  <c r="S27" i="2"/>
  <c r="R27" i="2"/>
  <c r="P41" i="42"/>
  <c r="Q50" i="42"/>
  <c r="O50" i="42"/>
  <c r="R50" i="42"/>
  <c r="P47" i="42"/>
  <c r="K47" i="42"/>
  <c r="N47" i="42"/>
  <c r="O47" i="42"/>
  <c r="J44" i="42"/>
  <c r="K44" i="42"/>
  <c r="P44" i="42"/>
  <c r="Q44" i="42"/>
  <c r="M44" i="42"/>
  <c r="S41" i="42"/>
  <c r="J41" i="42"/>
  <c r="Q41" i="42"/>
  <c r="O41" i="42"/>
  <c r="N41" i="42"/>
  <c r="S38" i="42"/>
  <c r="R38" i="42"/>
  <c r="M38" i="42"/>
  <c r="O38" i="42"/>
  <c r="J38" i="42"/>
  <c r="L38" i="42"/>
  <c r="J74" i="42"/>
  <c r="O74" i="42"/>
  <c r="P74" i="42"/>
  <c r="L74" i="42"/>
  <c r="K74" i="42"/>
  <c r="J76" i="42"/>
  <c r="N76" i="42"/>
  <c r="L77" i="42"/>
  <c r="J78" i="42"/>
  <c r="R78" i="42"/>
  <c r="L79" i="42"/>
  <c r="N80" i="42"/>
  <c r="R80" i="42"/>
  <c r="L81" i="42"/>
  <c r="N82" i="42"/>
  <c r="R82" i="42"/>
  <c r="P90" i="42"/>
  <c r="P14" i="44"/>
  <c r="N91" i="42"/>
  <c r="L92" i="42"/>
  <c r="L16" i="44"/>
  <c r="P92" i="42"/>
  <c r="P16" i="44"/>
  <c r="S75" i="42"/>
  <c r="M76" i="42"/>
  <c r="Q76" i="42"/>
  <c r="S77" i="42"/>
  <c r="M78" i="42"/>
  <c r="K79" i="42"/>
  <c r="S79" i="42"/>
  <c r="Q80" i="42"/>
  <c r="K81" i="42"/>
  <c r="M82" i="42"/>
  <c r="Q82" i="42"/>
  <c r="K90" i="42"/>
  <c r="M91" i="42"/>
  <c r="Q91" i="42"/>
  <c r="Q15" i="44"/>
  <c r="O92" i="42"/>
  <c r="O16" i="44"/>
  <c r="M74" i="42"/>
  <c r="S74" i="42"/>
  <c r="J75" i="42"/>
  <c r="L76" i="42"/>
  <c r="P76" i="42"/>
  <c r="J77" i="42"/>
  <c r="L78" i="42"/>
  <c r="P78" i="42"/>
  <c r="R79" i="42"/>
  <c r="N81" i="42"/>
  <c r="J90" i="42"/>
  <c r="J14" i="44"/>
  <c r="R90" i="42"/>
  <c r="R14" i="44"/>
  <c r="M75" i="42"/>
  <c r="K76" i="42"/>
  <c r="S76" i="42"/>
  <c r="M79" i="42"/>
  <c r="K80" i="42"/>
  <c r="Q81" i="42"/>
  <c r="M90" i="42"/>
  <c r="S91" i="42"/>
  <c r="S15" i="44"/>
  <c r="Q92" i="42"/>
  <c r="Q16" i="44"/>
  <c r="J81" i="42"/>
  <c r="R81" i="42"/>
  <c r="P82" i="42"/>
  <c r="J92" i="42"/>
  <c r="R92" i="42"/>
  <c r="R16" i="44"/>
  <c r="O76" i="42"/>
  <c r="K78" i="42"/>
  <c r="Q79" i="42"/>
  <c r="O80" i="42"/>
  <c r="S82" i="42"/>
  <c r="Q90" i="42"/>
  <c r="Q14" i="44"/>
  <c r="O91" i="42"/>
  <c r="O15" i="44"/>
  <c r="R13" i="42"/>
  <c r="R26" i="42"/>
  <c r="K26" i="2"/>
  <c r="J17" i="2"/>
  <c r="J26" i="2"/>
  <c r="M81" i="42"/>
  <c r="M77" i="42"/>
  <c r="L91" i="42"/>
  <c r="L15" i="44"/>
  <c r="N79" i="42"/>
  <c r="O82" i="42"/>
  <c r="O78" i="42"/>
  <c r="P91" i="42"/>
  <c r="P15" i="44"/>
  <c r="P80" i="42"/>
  <c r="R77" i="42"/>
  <c r="N75" i="42"/>
  <c r="S92" i="42"/>
  <c r="S16" i="44"/>
  <c r="S90" i="42"/>
  <c r="S14" i="44"/>
  <c r="O81" i="42"/>
  <c r="O79" i="42"/>
  <c r="O77" i="42"/>
  <c r="K75" i="42"/>
  <c r="J91" i="42"/>
  <c r="J94" i="42"/>
  <c r="J82" i="42"/>
  <c r="P79" i="42"/>
  <c r="P77" i="42"/>
  <c r="P75" i="42"/>
  <c r="N74" i="42"/>
  <c r="K38" i="42"/>
  <c r="Q38" i="42"/>
  <c r="L41" i="42"/>
  <c r="R41" i="42"/>
  <c r="L44" i="42"/>
  <c r="L47" i="42"/>
  <c r="S47" i="42"/>
  <c r="N50" i="42"/>
  <c r="M14" i="44"/>
  <c r="M15" i="44"/>
  <c r="J15" i="44"/>
  <c r="J16" i="44"/>
  <c r="N15" i="44"/>
  <c r="K14" i="44"/>
  <c r="S13" i="42"/>
  <c r="S26" i="42"/>
  <c r="M92" i="42"/>
  <c r="M16" i="44"/>
  <c r="K82" i="42"/>
  <c r="S78" i="42"/>
  <c r="Q75" i="42"/>
  <c r="N90" i="42"/>
  <c r="N14" i="44"/>
  <c r="L80" i="42"/>
  <c r="K91" i="42"/>
  <c r="K15" i="44"/>
  <c r="S80" i="42"/>
  <c r="Q77" i="42"/>
  <c r="N92" i="42"/>
  <c r="N16" i="44"/>
  <c r="L82" i="42"/>
  <c r="J79" i="42"/>
  <c r="N77" i="42"/>
  <c r="R75" i="42"/>
  <c r="Q74" i="42"/>
  <c r="K92" i="42"/>
  <c r="O90" i="42"/>
  <c r="O14" i="44"/>
  <c r="S81" i="42"/>
  <c r="M80" i="42"/>
  <c r="Q78" i="42"/>
  <c r="K77" i="42"/>
  <c r="O75" i="42"/>
  <c r="R91" i="42"/>
  <c r="R15" i="44"/>
  <c r="L90" i="42"/>
  <c r="P81" i="42"/>
  <c r="J80" i="42"/>
  <c r="N78" i="42"/>
  <c r="R76" i="42"/>
  <c r="L75" i="42"/>
  <c r="R74" i="42"/>
  <c r="N38" i="42"/>
  <c r="P38" i="42"/>
  <c r="M41" i="42"/>
  <c r="K41" i="42"/>
  <c r="N44" i="42"/>
  <c r="O44" i="42"/>
  <c r="R44" i="42"/>
  <c r="M47" i="42"/>
  <c r="J47" i="42"/>
  <c r="J52" i="42"/>
  <c r="L50" i="42"/>
  <c r="M50" i="42"/>
  <c r="K50" i="42"/>
  <c r="S44" i="42"/>
  <c r="Q47" i="42"/>
  <c r="R47" i="42"/>
  <c r="S50" i="42"/>
  <c r="P50" i="42"/>
  <c r="P20" i="42"/>
  <c r="S20" i="42"/>
  <c r="R20" i="42"/>
  <c r="Q20" i="42"/>
  <c r="M21" i="2"/>
  <c r="O29" i="2"/>
  <c r="K18" i="2"/>
  <c r="K27" i="2"/>
  <c r="O30" i="2"/>
  <c r="L19" i="2"/>
  <c r="L16" i="2"/>
  <c r="L25" i="2"/>
  <c r="M18" i="2"/>
  <c r="L17" i="2"/>
  <c r="L26" i="2"/>
  <c r="P30" i="2"/>
  <c r="M20" i="2"/>
  <c r="M29" i="2"/>
  <c r="N30" i="2"/>
  <c r="N19" i="2"/>
  <c r="N28" i="2"/>
  <c r="Q13" i="42"/>
  <c r="Q26" i="42"/>
  <c r="L29" i="42"/>
  <c r="O29" i="42"/>
  <c r="Q29" i="42"/>
  <c r="S29" i="42"/>
  <c r="K29" i="42"/>
  <c r="N29" i="42"/>
  <c r="P29" i="42"/>
  <c r="R29" i="42"/>
  <c r="M29" i="42"/>
  <c r="L28" i="2"/>
  <c r="J25" i="2"/>
  <c r="N29" i="2"/>
  <c r="Q94" i="42"/>
  <c r="M84" i="42"/>
  <c r="O84" i="42"/>
  <c r="Q52" i="42"/>
  <c r="Q54" i="42"/>
  <c r="L52" i="42"/>
  <c r="L54" i="42"/>
  <c r="P94" i="42"/>
  <c r="S94" i="42"/>
  <c r="S84" i="42"/>
  <c r="P84" i="42"/>
  <c r="M94" i="42"/>
  <c r="S52" i="42"/>
  <c r="S54" i="42"/>
  <c r="N84" i="42"/>
  <c r="R52" i="42"/>
  <c r="R54" i="42"/>
  <c r="L84" i="42"/>
  <c r="K84" i="42"/>
  <c r="J84" i="42"/>
  <c r="R94" i="42"/>
  <c r="O94" i="42"/>
  <c r="N94" i="42"/>
  <c r="R84" i="42"/>
  <c r="Q84" i="42"/>
  <c r="L94" i="42"/>
  <c r="L14" i="44"/>
  <c r="K94" i="42"/>
  <c r="K16" i="44"/>
  <c r="P52" i="42"/>
  <c r="P54" i="42"/>
  <c r="M16" i="2"/>
  <c r="L21" i="2"/>
  <c r="L20" i="2"/>
  <c r="M17" i="2"/>
  <c r="K19" i="2"/>
  <c r="O19" i="2"/>
  <c r="O28" i="2"/>
  <c r="N18" i="2"/>
  <c r="J18" i="2"/>
  <c r="N16" i="2"/>
  <c r="M25" i="2"/>
  <c r="P28" i="2"/>
  <c r="P26" i="2"/>
  <c r="P27" i="2"/>
  <c r="J54" i="42"/>
  <c r="M30" i="2"/>
  <c r="K28" i="2"/>
  <c r="N27" i="2"/>
  <c r="M27" i="2"/>
  <c r="L29" i="2"/>
  <c r="J27" i="2"/>
  <c r="L20" i="42"/>
  <c r="J101" i="42"/>
  <c r="J102" i="42"/>
  <c r="J100" i="42"/>
  <c r="J13" i="44"/>
  <c r="K100" i="42"/>
  <c r="K13" i="44"/>
  <c r="K101" i="42"/>
  <c r="K102" i="42"/>
  <c r="L13" i="42"/>
  <c r="K21" i="2"/>
  <c r="O18" i="2"/>
  <c r="J19" i="2"/>
  <c r="J28" i="2"/>
  <c r="N17" i="2"/>
  <c r="M26" i="2"/>
  <c r="K20" i="2"/>
  <c r="O16" i="2"/>
  <c r="O17" i="42"/>
  <c r="R17" i="42"/>
  <c r="N15" i="42"/>
  <c r="K24" i="42"/>
  <c r="R22" i="42"/>
  <c r="R24" i="42"/>
  <c r="L24" i="42"/>
  <c r="N25" i="2"/>
  <c r="L17" i="42"/>
  <c r="J15" i="42"/>
  <c r="K17" i="42"/>
  <c r="Q15" i="42"/>
  <c r="Q17" i="42"/>
  <c r="N17" i="42"/>
  <c r="O15" i="42"/>
  <c r="P15" i="42"/>
  <c r="J17" i="42"/>
  <c r="R15" i="42"/>
  <c r="S15" i="42"/>
  <c r="P17" i="42"/>
  <c r="S17" i="42"/>
  <c r="S24" i="42"/>
  <c r="J22" i="42"/>
  <c r="N22" i="42"/>
  <c r="Q24" i="42"/>
  <c r="Q22" i="42"/>
  <c r="P22" i="42"/>
  <c r="J24" i="42"/>
  <c r="S22" i="42"/>
  <c r="M24" i="42"/>
  <c r="N24" i="42"/>
  <c r="L22" i="42"/>
  <c r="L30" i="2"/>
  <c r="K29" i="2"/>
  <c r="L26" i="42"/>
  <c r="K13" i="42"/>
  <c r="K26" i="42"/>
  <c r="K20" i="42"/>
  <c r="M20" i="42"/>
  <c r="M13" i="42"/>
  <c r="M26" i="42"/>
  <c r="O35" i="42"/>
  <c r="K15" i="42"/>
  <c r="M15" i="42"/>
  <c r="P24" i="42"/>
  <c r="O22" i="42"/>
  <c r="K22" i="42"/>
  <c r="M35" i="42"/>
  <c r="M22" i="42"/>
  <c r="O24" i="42"/>
  <c r="J21" i="2"/>
  <c r="J20" i="2"/>
  <c r="J29" i="2"/>
  <c r="O17" i="2"/>
  <c r="N26" i="2"/>
  <c r="O27" i="2"/>
  <c r="P25" i="2"/>
  <c r="O25" i="2"/>
  <c r="J30" i="2"/>
  <c r="K30" i="2"/>
  <c r="J13" i="42"/>
  <c r="J26" i="42"/>
  <c r="J20" i="42"/>
  <c r="N20" i="42"/>
  <c r="K35" i="42"/>
  <c r="N13" i="42"/>
  <c r="N26" i="42"/>
  <c r="O20" i="42"/>
  <c r="O13" i="42"/>
  <c r="O26" i="42"/>
  <c r="O26" i="2"/>
  <c r="O33" i="42"/>
  <c r="N35" i="42"/>
  <c r="O52" i="42"/>
  <c r="O54" i="42"/>
  <c r="M16" i="42"/>
  <c r="M17" i="42"/>
  <c r="L14" i="42"/>
  <c r="L15" i="42"/>
  <c r="K31" i="42"/>
  <c r="N31" i="42"/>
  <c r="O31" i="42"/>
  <c r="M31" i="42"/>
  <c r="K33" i="42"/>
  <c r="K52" i="42"/>
  <c r="K54" i="42"/>
  <c r="N33" i="42"/>
  <c r="M33" i="42"/>
  <c r="M52" i="42"/>
  <c r="N52" i="42"/>
  <c r="N54" i="42"/>
  <c r="M54" i="42"/>
  <c r="Q101" i="42"/>
  <c r="R100" i="42"/>
  <c r="R13" i="44"/>
  <c r="S101" i="42"/>
  <c r="Q100" i="42"/>
  <c r="Q13" i="44"/>
  <c r="L100" i="42"/>
  <c r="L13" i="44"/>
  <c r="M101" i="42"/>
  <c r="M102" i="42"/>
  <c r="L101" i="42"/>
  <c r="L102" i="42"/>
  <c r="M100" i="42"/>
  <c r="M13" i="44"/>
  <c r="N100" i="42"/>
  <c r="N13" i="44"/>
  <c r="P101" i="42"/>
  <c r="N101" i="42"/>
  <c r="N102" i="42"/>
  <c r="R101" i="42"/>
  <c r="O101" i="42"/>
  <c r="O100" i="42"/>
  <c r="O13" i="44"/>
  <c r="P100" i="42"/>
  <c r="P13" i="44"/>
  <c r="S100" i="42"/>
  <c r="S13" i="44"/>
</calcChain>
</file>

<file path=xl/sharedStrings.xml><?xml version="1.0" encoding="utf-8"?>
<sst xmlns="http://schemas.openxmlformats.org/spreadsheetml/2006/main" count="689" uniqueCount="201">
  <si>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</si>
  <si>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</si>
  <si>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</si>
  <si>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</si>
  <si>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</si>
  <si>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</si>
  <si>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</si>
  <si>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</si>
  <si>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</si>
  <si>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</si>
  <si>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</si>
  <si>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</si>
  <si>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</si>
  <si>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</si>
  <si>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</si>
  <si>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</si>
  <si>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</si>
  <si>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</si>
  <si>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</si>
  <si>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</si>
  <si>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</si>
  <si>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</si>
  <si>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</si>
  <si>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</si>
  <si>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</si>
  <si>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</si>
  <si>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</si>
  <si>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</si>
  <si>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</si>
  <si>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</si>
  <si>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</si>
  <si>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</si>
  <si>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</si>
  <si>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</si>
  <si>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</si>
  <si>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</si>
  <si>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</si>
  <si>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</si>
  <si>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</si>
  <si>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</si>
  <si>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</si>
  <si>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</si>
  <si>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</si>
  <si>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</si>
  <si>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</si>
  <si>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</si>
  <si>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</si>
  <si>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</si>
  <si>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</si>
  <si>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</si>
  <si>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</si>
  <si>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</si>
  <si>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</si>
  <si>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</si>
  <si>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</si>
  <si>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</si>
  <si>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</si>
  <si>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</si>
  <si>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</si>
  <si>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</si>
  <si>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</si>
  <si>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</si>
  <si>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</si>
  <si>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</si>
  <si>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</si>
  <si>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</si>
  <si>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</si>
  <si>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</si>
  <si>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</si>
  <si>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</si>
  <si>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</si>
  <si>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</si>
  <si>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</si>
  <si>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</si>
  <si>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</si>
  <si>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</si>
  <si>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</si>
  <si>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</si>
  <si>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</si>
  <si>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</si>
  <si>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</si>
  <si>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</si>
  <si>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</si>
  <si>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</si>
  <si>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</si>
  <si>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</si>
  <si>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</si>
  <si>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</si>
  <si>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</si>
  <si>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</si>
  <si>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</si>
  <si>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</si>
  <si>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</si>
  <si>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</si>
  <si>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</si>
  <si>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</si>
  <si>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</si>
  <si>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</si>
  <si>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</si>
  <si>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</si>
  <si>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</si>
  <si>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</si>
  <si>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</si>
  <si>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</si>
  <si>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</si>
  <si>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</si>
  <si>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</si>
  <si>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</si>
  <si>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</si>
  <si>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</si>
  <si>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</si>
  <si>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</si>
  <si>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</si>
  <si>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</si>
  <si>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</si>
  <si>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</si>
  <si>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</si>
  <si>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</si>
  <si>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</si>
  <si>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</si>
  <si>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</si>
  <si>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</si>
  <si>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</si>
  <si>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</si>
  <si>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</si>
  <si>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</si>
  <si>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</si>
  <si>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</si>
  <si>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</si>
  <si>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</si>
  <si>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</si>
  <si>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</si>
  <si>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</si>
  <si>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</si>
  <si>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</si>
  <si>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</si>
  <si>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</si>
  <si>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</si>
  <si>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</si>
  <si>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</si>
  <si>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</si>
  <si>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</si>
  <si>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</si>
  <si>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</si>
  <si>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</si>
  <si>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</si>
  <si>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</si>
  <si>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</si>
  <si>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</si>
  <si>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</si>
  <si>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</si>
  <si>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</si>
  <si>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</si>
  <si>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</si>
  <si>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</si>
  <si>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</si>
  <si>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</si>
  <si>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</si>
  <si>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</si>
  <si>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</si>
  <si>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</si>
  <si>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</si>
  <si>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</si>
  <si>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</si>
  <si>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</si>
  <si>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</si>
  <si>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</si>
  <si>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</si>
  <si>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</si>
  <si>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</si>
  <si>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</si>
  <si>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non-recurrent efficiency gain in the base year</t>
  </si>
  <si>
    <t>Add back non-recurrent efficiency gains in the base year</t>
  </si>
  <si>
    <t>Allowances related to category specific forecasts</t>
  </si>
  <si>
    <t>Remove network support costs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</si>
  <si>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</si>
  <si>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</si>
  <si>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</si>
  <si>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</si>
  <si>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</si>
  <si>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</si>
  <si>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</si>
  <si>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</si>
  <si>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</si>
  <si>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</si>
  <si>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Remove GSL payments</t>
  </si>
  <si>
    <t xml:space="preserve">Remove electrical safety levy </t>
  </si>
  <si>
    <t>Remove NEM levy</t>
  </si>
  <si>
    <t>Customer connection numbers</t>
  </si>
  <si>
    <t>SFA CD</t>
  </si>
  <si>
    <t>LSE CD</t>
  </si>
  <si>
    <t>LSE TLG</t>
  </si>
  <si>
    <t>MPFP</t>
  </si>
  <si>
    <t>Forecast output growth</t>
  </si>
  <si>
    <t>RBA statement of monetary policy inflation forecast,  August 2018, Table 5.1</t>
  </si>
  <si>
    <t>Endeavour</t>
  </si>
  <si>
    <t>Interpolated</t>
  </si>
  <si>
    <t>Remove DMIA</t>
  </si>
  <si>
    <t>WPI - BIS</t>
  </si>
  <si>
    <t>WPI - average of DAE and BIS</t>
  </si>
  <si>
    <t>Energy throughput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</si>
</sst>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  <numFmt numFmtId="207" formatCode="_-* #,##0.000_-;\-* #,##0.000_-;_-* &quot;-&quot;??_-;_-@_-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66">
    <xf numFmtId="0" fontId="0" fillId="0" borderId="0"/>
    <xf numFmtId="166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67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4" fillId="0" borderId="0"/>
    <xf numFmtId="174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75" fontId="21" fillId="4" borderId="0" applyNumberFormat="0" applyFont="0" applyBorder="0" applyAlignment="0">
      <alignment horizontal="right"/>
    </xf>
    <xf numFmtId="17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8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75" fontId="21" fillId="36" borderId="0" applyFont="0" applyBorder="0" applyAlignment="0">
      <alignment horizontal="right"/>
      <protection locked="0"/>
    </xf>
    <xf numFmtId="175" fontId="21" fillId="36" borderId="0" applyFont="0" applyBorder="0" applyAlignment="0">
      <alignment horizontal="right"/>
      <protection locked="0"/>
    </xf>
    <xf numFmtId="181" fontId="21" fillId="6" borderId="0" applyFont="0" applyBorder="0">
      <alignment horizontal="right"/>
      <protection locked="0"/>
    </xf>
    <xf numFmtId="181" fontId="21" fillId="6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2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3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4" fontId="21" fillId="0" borderId="0" applyFill="0" applyBorder="0"/>
    <xf numFmtId="184" fontId="21" fillId="0" borderId="0" applyFill="0" applyBorder="0"/>
    <xf numFmtId="184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5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6" fontId="21" fillId="0" borderId="0"/>
    <xf numFmtId="186" fontId="21" fillId="0" borderId="0"/>
    <xf numFmtId="186" fontId="21" fillId="0" borderId="0"/>
    <xf numFmtId="187" fontId="14" fillId="0" borderId="0" applyFill="0" applyBorder="0">
      <alignment horizontal="right" vertical="center"/>
    </xf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2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5" fillId="42" borderId="0"/>
    <xf numFmtId="200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206" fontId="2" fillId="50" borderId="27" applyFont="0" applyFill="0" applyBorder="0" applyAlignment="0">
      <alignment horizontal="right" vertical="top" wrapText="1"/>
      <protection locked="0"/>
    </xf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4" fontId="5" fillId="3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43" fontId="11" fillId="0" borderId="6" xfId="0" applyNumberFormat="1" applyFont="1" applyBorder="1" applyAlignment="1">
      <alignment horizontal="center"/>
    </xf>
    <xf numFmtId="164" fontId="16" fillId="0" borderId="0" xfId="3" applyNumberFormat="1" applyFont="1" applyAlignment="1" applyProtection="1"/>
    <xf numFmtId="164" fontId="6" fillId="3" borderId="0" xfId="0" applyNumberFormat="1" applyFont="1" applyFill="1"/>
    <xf numFmtId="164" fontId="17" fillId="0" borderId="0" xfId="0" applyNumberFormat="1" applyFont="1" applyAlignment="1">
      <alignment horizontal="center"/>
    </xf>
    <xf numFmtId="169" fontId="14" fillId="0" borderId="0" xfId="5" applyNumberFormat="1" applyFont="1" applyFill="1" applyBorder="1" applyAlignment="1" applyProtection="1">
      <alignment horizontal="center" vertical="center"/>
    </xf>
    <xf numFmtId="170" fontId="11" fillId="0" borderId="0" xfId="5" applyNumberFormat="1" applyFont="1" applyFill="1" applyBorder="1" applyAlignment="1" applyProtection="1">
      <alignment horizontal="center"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71" fontId="5" fillId="0" borderId="0" xfId="0" applyNumberFormat="1" applyFont="1"/>
    <xf numFmtId="173" fontId="14" fillId="0" borderId="0" xfId="5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center"/>
    </xf>
    <xf numFmtId="164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5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4" fontId="17" fillId="0" borderId="0" xfId="0" applyNumberFormat="1" applyFont="1" applyAlignment="1" applyProtection="1">
      <alignment horizontal="center" wrapText="1"/>
    </xf>
    <xf numFmtId="191" fontId="5" fillId="41" borderId="3" xfId="0" applyNumberFormat="1" applyFont="1" applyFill="1" applyBorder="1" applyAlignment="1" applyProtection="1">
      <alignment horizontal="center"/>
      <protection locked="0"/>
    </xf>
    <xf numFmtId="195" fontId="5" fillId="0" borderId="0" xfId="0" applyNumberFormat="1" applyFont="1" applyAlignment="1" applyProtection="1">
      <alignment horizontal="left"/>
    </xf>
    <xf numFmtId="193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 wrapText="1"/>
    </xf>
    <xf numFmtId="164" fontId="7" fillId="0" borderId="0" xfId="0" applyNumberFormat="1" applyFont="1" applyProtection="1"/>
    <xf numFmtId="164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43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44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7" fillId="0" borderId="0" xfId="0" applyNumberFormat="1" applyFont="1" applyFill="1" applyBorder="1" applyProtection="1"/>
    <xf numFmtId="164" fontId="6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Alignment="1" applyProtection="1">
      <alignment horizontal="center"/>
    </xf>
    <xf numFmtId="164" fontId="16" fillId="0" borderId="0" xfId="3" applyNumberFormat="1" applyFont="1" applyFill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64" fontId="6" fillId="0" borderId="7" xfId="0" applyNumberFormat="1" applyFont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left" indent="1"/>
    </xf>
    <xf numFmtId="164" fontId="6" fillId="0" borderId="8" xfId="0" applyNumberFormat="1" applyFont="1" applyBorder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4" fontId="7" fillId="0" borderId="8" xfId="0" applyNumberFormat="1" applyFont="1" applyBorder="1" applyProtection="1"/>
    <xf numFmtId="172" fontId="5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left" indent="2"/>
    </xf>
    <xf numFmtId="164" fontId="17" fillId="0" borderId="8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Border="1" applyProtection="1"/>
    <xf numFmtId="193" fontId="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7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43" fontId="11" fillId="0" borderId="3" xfId="0" applyNumberFormat="1" applyFont="1" applyBorder="1" applyAlignment="1" applyProtection="1">
      <alignment horizontal="center"/>
    </xf>
    <xf numFmtId="43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4" fontId="7" fillId="0" borderId="7" xfId="0" applyNumberFormat="1" applyFont="1" applyBorder="1" applyProtection="1"/>
    <xf numFmtId="164" fontId="5" fillId="0" borderId="7" xfId="0" applyNumberFormat="1" applyFont="1" applyBorder="1" applyProtection="1"/>
    <xf numFmtId="164" fontId="7" fillId="0" borderId="4" xfId="0" applyNumberFormat="1" applyFont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43" fontId="5" fillId="0" borderId="0" xfId="0" applyNumberFormat="1" applyFont="1" applyProtection="1"/>
    <xf numFmtId="164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4" fontId="6" fillId="0" borderId="0" xfId="6" applyNumberFormat="1" applyFont="1" applyAlignment="1" applyProtection="1">
      <alignment horizont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Protection="1"/>
    <xf numFmtId="164" fontId="5" fillId="0" borderId="0" xfId="0" applyNumberFormat="1" applyFont="1" applyAlignment="1" applyProtection="1">
      <alignment horizontal="left"/>
    </xf>
    <xf numFmtId="192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4" fontId="6" fillId="41" borderId="3" xfId="2" applyNumberFormat="1" applyFont="1" applyFill="1" applyBorder="1" applyAlignment="1" applyProtection="1">
      <alignment horizontal="center"/>
      <protection locked="0"/>
    </xf>
    <xf numFmtId="198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Protection="1">
      <protection locked="0"/>
    </xf>
    <xf numFmtId="201" fontId="7" fillId="0" borderId="0" xfId="0" applyNumberFormat="1" applyFont="1" applyAlignment="1" applyProtection="1">
      <alignment horizontal="center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 applyProtection="1">
      <alignment horizontal="center" wrapText="1"/>
    </xf>
    <xf numFmtId="203" fontId="90" fillId="38" borderId="2" xfId="0" applyNumberFormat="1" applyFont="1" applyFill="1" applyBorder="1" applyAlignment="1" applyProtection="1">
      <alignment horizontal="center"/>
    </xf>
    <xf numFmtId="203" fontId="73" fillId="38" borderId="2" xfId="0" applyNumberFormat="1" applyFont="1" applyFill="1" applyBorder="1" applyAlignment="1" applyProtection="1">
      <alignment horizontal="left"/>
    </xf>
    <xf numFmtId="203" fontId="7" fillId="0" borderId="7" xfId="0" applyNumberFormat="1" applyFont="1" applyBorder="1" applyAlignment="1" applyProtection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 applyProtection="1">
      <alignment horizontal="center"/>
    </xf>
    <xf numFmtId="203" fontId="6" fillId="41" borderId="22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Protection="1"/>
    <xf numFmtId="203" fontId="5" fillId="0" borderId="0" xfId="0" applyNumberFormat="1" applyFont="1" applyAlignment="1" applyProtection="1">
      <alignment horizontal="left" indent="1"/>
    </xf>
    <xf numFmtId="164" fontId="13" fillId="0" borderId="0" xfId="3" applyNumberFormat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94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6" xfId="0" applyNumberFormat="1" applyFont="1" applyFill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203" fontId="17" fillId="0" borderId="0" xfId="0" applyNumberFormat="1" applyFont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9" fontId="7" fillId="0" borderId="0" xfId="0" applyNumberFormat="1" applyFont="1" applyBorder="1" applyAlignment="1" applyProtection="1">
      <alignment horizontal="center"/>
    </xf>
    <xf numFmtId="196" fontId="7" fillId="0" borderId="0" xfId="0" applyNumberFormat="1" applyFont="1" applyBorder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left" indent="1"/>
    </xf>
    <xf numFmtId="203" fontId="6" fillId="0" borderId="7" xfId="0" applyNumberFormat="1" applyFont="1" applyBorder="1" applyAlignment="1" applyProtection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3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3" fontId="5" fillId="0" borderId="0" xfId="0" applyNumberFormat="1" applyFont="1" applyProtection="1">
      <protection locked="0"/>
    </xf>
    <xf numFmtId="193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3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0" fontId="5" fillId="0" borderId="0" xfId="2" applyNumberFormat="1" applyFont="1" applyAlignment="1" applyProtection="1">
      <alignment horizontal="center"/>
      <protection locked="0"/>
    </xf>
    <xf numFmtId="170" fontId="11" fillId="0" borderId="0" xfId="5" applyNumberFormat="1" applyFont="1" applyFill="1" applyBorder="1" applyAlignment="1" applyProtection="1">
      <alignment horizontal="center" vertical="center"/>
      <protection locked="0"/>
    </xf>
    <xf numFmtId="164" fontId="14" fillId="0" borderId="0" xfId="5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80" fontId="5" fillId="0" borderId="0" xfId="2" applyNumberFormat="1" applyFont="1" applyFill="1" applyBorder="1" applyAlignment="1" applyProtection="1">
      <alignment horizontal="center"/>
      <protection locked="0"/>
    </xf>
    <xf numFmtId="203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203" fontId="18" fillId="8" borderId="9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10" fontId="5" fillId="0" borderId="0" xfId="2" applyNumberFormat="1" applyFont="1" applyProtection="1">
      <protection locked="0"/>
    </xf>
    <xf numFmtId="203" fontId="14" fillId="8" borderId="9" xfId="0" applyNumberFormat="1" applyFont="1" applyFill="1" applyBorder="1" applyAlignment="1" applyProtection="1">
      <alignment horizontal="center"/>
      <protection locked="0"/>
    </xf>
    <xf numFmtId="10" fontId="5" fillId="0" borderId="0" xfId="0" applyNumberFormat="1" applyFont="1" applyProtection="1">
      <protection locked="0"/>
    </xf>
    <xf numFmtId="10" fontId="5" fillId="41" borderId="3" xfId="2" applyNumberFormat="1" applyFont="1" applyFill="1" applyBorder="1" applyAlignment="1" applyProtection="1">
      <alignment horizontal="right"/>
      <protection locked="0"/>
    </xf>
    <xf numFmtId="10" fontId="14" fillId="0" borderId="0" xfId="5" applyNumberFormat="1" applyFont="1" applyFill="1" applyBorder="1" applyAlignment="1" applyProtection="1">
      <alignment horizontal="center" vertical="center"/>
      <protection locked="0"/>
    </xf>
    <xf numFmtId="43" fontId="5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193" fontId="5" fillId="0" borderId="0" xfId="0" applyNumberFormat="1" applyFont="1" applyFill="1" applyProtection="1">
      <protection locked="0"/>
    </xf>
    <xf numFmtId="207" fontId="5" fillId="0" borderId="0" xfId="0" applyNumberFormat="1" applyFont="1" applyProtection="1"/>
    <xf numFmtId="192" fontId="7" fillId="8" borderId="28" xfId="0" applyNumberFormat="1" applyFont="1" applyFill="1" applyBorder="1" applyAlignment="1" applyProtection="1">
      <alignment horizontal="center"/>
      <protection locked="0"/>
    </xf>
    <xf numFmtId="2" fontId="5" fillId="41" borderId="3" xfId="0" applyNumberFormat="1" applyFont="1" applyFill="1" applyBorder="1" applyAlignment="1" applyProtection="1">
      <alignment horizontal="center"/>
      <protection locked="0"/>
    </xf>
    <xf numFmtId="10" fontId="5" fillId="41" borderId="29" xfId="2" applyNumberFormat="1" applyFont="1" applyFill="1" applyBorder="1" applyAlignment="1" applyProtection="1">
      <alignment horizontal="center"/>
      <protection locked="0"/>
    </xf>
    <xf numFmtId="1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" xfId="0" applyNumberFormat="1" applyFont="1" applyFill="1" applyBorder="1" applyAlignment="1" applyProtection="1">
      <alignment horizontal="center"/>
    </xf>
  </cellXfs>
  <cellStyles count="266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1_dms_Financial" xfId="264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C15" sqref="C15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183</v>
      </c>
    </row>
    <row r="13" spans="1:47">
      <c r="C13" s="19" t="s">
        <v>55</v>
      </c>
      <c r="D13" s="7" t="s">
        <v>184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G8" sqref="G8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6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195</v>
      </c>
      <c r="H7" s="29"/>
      <c r="I7" s="29"/>
      <c r="S7" s="131" t="str">
        <f>IF(COUNTBLANK($G7),"Check","Ok")</f>
        <v>Ok</v>
      </c>
    </row>
    <row r="8" spans="1:47">
      <c r="C8" s="29" t="s">
        <v>147</v>
      </c>
      <c r="D8" s="30" t="s">
        <v>73</v>
      </c>
      <c r="E8" s="29"/>
      <c r="F8" s="29"/>
      <c r="G8" s="52" t="s">
        <v>148</v>
      </c>
      <c r="H8" s="29"/>
      <c r="I8" s="29"/>
      <c r="S8" s="131" t="str">
        <f>IF(COUNTBLANK($G8),"Check","Ok")</f>
        <v>Ok</v>
      </c>
    </row>
    <row r="9" spans="1:47">
      <c r="C9" s="29" t="s">
        <v>131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162</v>
      </c>
      <c r="D10" s="30" t="s">
        <v>72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163</v>
      </c>
      <c r="D12" s="30" t="s">
        <v>72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12" priority="13" operator="equal">
      <formula>"Check"</formula>
    </cfRule>
    <cfRule type="cellIs" dxfId="211" priority="14" operator="equal">
      <formula>"Ok"</formula>
    </cfRule>
  </conditionalFormatting>
  <conditionalFormatting sqref="V1">
    <cfRule type="cellIs" dxfId="210" priority="3" operator="equal">
      <formula>"Check"</formula>
    </cfRule>
    <cfRule type="cellIs" dxfId="209" priority="4" operator="equal">
      <formula>"Ok"</formula>
    </cfRule>
  </conditionalFormatting>
  <conditionalFormatting sqref="S7:S14">
    <cfRule type="cellIs" dxfId="208" priority="5" operator="equal">
      <formula>"Check"</formula>
    </cfRule>
    <cfRule type="cellIs" dxfId="207" priority="6" operator="equal">
      <formula>"Ok"</formula>
    </cfRule>
  </conditionalFormatting>
  <conditionalFormatting sqref="S1">
    <cfRule type="cellIs" dxfId="206" priority="1" operator="equal">
      <formula>"Check"</formula>
    </cfRule>
    <cfRule type="cellIs" dxfId="205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25" workbookViewId="0">
      <selection activeCell="H40" sqref="H40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6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145</v>
      </c>
      <c r="F6" s="62" t="s">
        <v>102</v>
      </c>
      <c r="G6" s="62" t="s">
        <v>145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7"/>
      <c r="I54" s="29"/>
      <c r="J54" s="29"/>
      <c r="L54" s="216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113.53087500000001</v>
      </c>
      <c r="G55" s="117">
        <f t="shared" si="1"/>
        <v>1.9128141831238787E-2</v>
      </c>
      <c r="H55" s="215" t="s">
        <v>196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F52*1.0175</f>
        <v>114.06175</v>
      </c>
      <c r="G56" s="117">
        <f t="shared" si="1"/>
        <v>1.7500000000000071E-2</v>
      </c>
      <c r="H56" s="187" t="s">
        <v>194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114.660875</v>
      </c>
      <c r="G57" s="117">
        <f t="shared" si="1"/>
        <v>1.8302619893428185E-2</v>
      </c>
      <c r="H57" s="215" t="s">
        <v>196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</f>
        <v>115.26</v>
      </c>
      <c r="G58" s="117">
        <f t="shared" si="1"/>
        <v>2.0000000000000018E-2</v>
      </c>
      <c r="H58" s="187" t="s">
        <v>194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115.9440696875</v>
      </c>
      <c r="G59" s="117">
        <f t="shared" si="1"/>
        <v>2.1255845050960787E-2</v>
      </c>
      <c r="H59" s="215" t="s">
        <v>196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F56*1.0225</f>
        <v>116.628139375</v>
      </c>
      <c r="G60" s="117">
        <f t="shared" si="1"/>
        <v>2.2499999999999964E-2</v>
      </c>
      <c r="H60" s="187" t="s">
        <v>194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117.24074468750001</v>
      </c>
      <c r="G61" s="117">
        <f t="shared" si="1"/>
        <v>2.2499999999999964E-2</v>
      </c>
      <c r="H61" s="215" t="s">
        <v>196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F58*1.0225</f>
        <v>117.85335000000001</v>
      </c>
      <c r="G62" s="117">
        <f t="shared" si="1"/>
        <v>2.2499999999999964E-2</v>
      </c>
      <c r="H62" s="187" t="s">
        <v>194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7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7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204" priority="11" operator="equal">
      <formula>"Check"</formula>
    </cfRule>
    <cfRule type="cellIs" dxfId="203" priority="12" operator="equal">
      <formula>"Ok"</formula>
    </cfRule>
  </conditionalFormatting>
  <conditionalFormatting sqref="W1">
    <cfRule type="cellIs" dxfId="202" priority="7" operator="equal">
      <formula>"Check"</formula>
    </cfRule>
    <cfRule type="cellIs" dxfId="201" priority="8" operator="equal">
      <formula>"Ok"</formula>
    </cfRule>
  </conditionalFormatting>
  <conditionalFormatting sqref="T1">
    <cfRule type="cellIs" dxfId="200" priority="5" operator="equal">
      <formula>"Check"</formula>
    </cfRule>
    <cfRule type="cellIs" dxfId="199" priority="6" operator="equal">
      <formula>"Ok"</formula>
    </cfRule>
  </conditionalFormatting>
  <conditionalFormatting sqref="X51:X57">
    <cfRule type="cellIs" dxfId="198" priority="3" operator="equal">
      <formula>"Check"</formula>
    </cfRule>
    <cfRule type="cellIs" dxfId="197" priority="4" operator="equal">
      <formula>"Ok"</formula>
    </cfRule>
  </conditionalFormatting>
  <conditionalFormatting sqref="X58:X62 T9:T64">
    <cfRule type="cellIs" dxfId="196" priority="1" operator="equal">
      <formula>"Check"</formula>
    </cfRule>
    <cfRule type="cellIs" dxfId="195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W69"/>
  <sheetViews>
    <sheetView workbookViewId="0">
      <selection activeCell="N20" sqref="N20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IF(COUNTA($W$37:$W$262)=COUNTIF($W$37:$W$262,"OK"),"OK","Check")</f>
        <v>OK</v>
      </c>
      <c r="T1" s="69"/>
      <c r="U1" s="186" t="s">
        <v>24</v>
      </c>
      <c r="V1" s="76" t="str">
        <f>'Check|List'!$S$1</f>
        <v>Check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0" t="s">
        <v>15</v>
      </c>
      <c r="F13" s="170">
        <v>41791</v>
      </c>
      <c r="G13" s="32"/>
      <c r="H13" s="32"/>
      <c r="I13" s="30"/>
      <c r="J13" s="164">
        <v>238.66</v>
      </c>
      <c r="K13" s="164">
        <v>242.46</v>
      </c>
      <c r="L13" s="164">
        <v>246.38</v>
      </c>
      <c r="M13" s="164">
        <v>250.59</v>
      </c>
      <c r="N13" s="164">
        <v>255.38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2" t="str">
        <f>E13</f>
        <v>$millions</v>
      </c>
      <c r="F15" s="202">
        <f>F13</f>
        <v>41791</v>
      </c>
      <c r="G15" s="32"/>
      <c r="H15" s="32"/>
      <c r="I15" s="30"/>
      <c r="J15" s="129">
        <f>J13</f>
        <v>238.66</v>
      </c>
      <c r="K15" s="129">
        <f t="shared" ref="K15:S15" si="1">K13</f>
        <v>242.46</v>
      </c>
      <c r="L15" s="129">
        <f t="shared" si="1"/>
        <v>246.38</v>
      </c>
      <c r="M15" s="129">
        <f t="shared" si="1"/>
        <v>250.59</v>
      </c>
      <c r="N15" s="129">
        <f t="shared" si="1"/>
        <v>255.38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173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111</v>
      </c>
      <c r="D19" s="30" t="s">
        <v>73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164">
        <v>-2.88</v>
      </c>
      <c r="K19" s="164">
        <v>-3</v>
      </c>
      <c r="L19" s="164">
        <v>-3.06</v>
      </c>
      <c r="M19" s="164">
        <v>-3.1</v>
      </c>
      <c r="N19" s="164">
        <v>-3.13</v>
      </c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 t="s">
        <v>174</v>
      </c>
      <c r="D20" s="30" t="s">
        <v>73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170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-2.88</v>
      </c>
      <c r="K29" s="129">
        <f t="shared" ref="K29:S29" si="4">SUM(K19:K27)</f>
        <v>-3</v>
      </c>
      <c r="L29" s="129">
        <f t="shared" si="4"/>
        <v>-3.06</v>
      </c>
      <c r="M29" s="129">
        <f t="shared" si="4"/>
        <v>-3.1</v>
      </c>
      <c r="N29" s="129">
        <f t="shared" si="4"/>
        <v>-3.13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78</v>
      </c>
      <c r="K33" s="164" t="s">
        <v>23</v>
      </c>
      <c r="L33" s="164" t="s">
        <v>23</v>
      </c>
      <c r="M33" s="164" t="s">
        <v>78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/>
      <c r="K37" s="164"/>
      <c r="L37" s="164"/>
      <c r="M37" s="218">
        <v>258.81192362257048</v>
      </c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 t="s">
        <v>118</v>
      </c>
      <c r="D38" s="30" t="s">
        <v>79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>
        <v>0</v>
      </c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 t="s">
        <v>197</v>
      </c>
      <c r="D39" s="30" t="s">
        <v>79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>
        <v>0</v>
      </c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79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79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118</v>
      </c>
      <c r="D42" s="30" t="s">
        <v>79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77</v>
      </c>
      <c r="D44" s="140" t="s">
        <v>30</v>
      </c>
      <c r="E44" s="189" t="str">
        <f>$E$53</f>
        <v>$millions</v>
      </c>
      <c r="F44" s="190" t="str">
        <f t="shared" ref="F44" si="8">$F$53</f>
        <v>nominal</v>
      </c>
      <c r="G44" s="32"/>
      <c r="H44" s="32"/>
      <c r="I44" s="30"/>
      <c r="J44" s="129">
        <f>SUM(J37:J42)</f>
        <v>0</v>
      </c>
      <c r="K44" s="129">
        <f t="shared" ref="K44:S44" si="9">SUM(K37:K42)</f>
        <v>0</v>
      </c>
      <c r="L44" s="129">
        <f t="shared" si="9"/>
        <v>0</v>
      </c>
      <c r="M44" s="129">
        <f t="shared" si="9"/>
        <v>258.81192362257048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119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111</v>
      </c>
      <c r="D48" s="30" t="s">
        <v>79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164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 t="s">
        <v>185</v>
      </c>
      <c r="D49" s="30" t="s">
        <v>79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/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 t="s">
        <v>186</v>
      </c>
      <c r="D50" s="30" t="s">
        <v>79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 t="s">
        <v>187</v>
      </c>
      <c r="D51" s="30" t="s">
        <v>79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170</v>
      </c>
      <c r="D53" s="140" t="s">
        <v>30</v>
      </c>
      <c r="E53" s="130" t="s">
        <v>15</v>
      </c>
      <c r="F53" s="162" t="s">
        <v>105</v>
      </c>
      <c r="G53" s="32"/>
      <c r="H53" s="32"/>
      <c r="I53" s="30"/>
      <c r="J53" s="185">
        <f>SUM(J48:J51)</f>
        <v>0</v>
      </c>
      <c r="K53" s="185">
        <f t="shared" ref="K53:S53" si="11">SUM(K48:K51)</f>
        <v>0</v>
      </c>
      <c r="L53" s="185">
        <f t="shared" si="11"/>
        <v>0</v>
      </c>
      <c r="M53" s="185">
        <f t="shared" si="11"/>
        <v>0</v>
      </c>
      <c r="N53" s="185">
        <f t="shared" si="11"/>
        <v>0</v>
      </c>
      <c r="O53" s="185">
        <f t="shared" si="11"/>
        <v>0</v>
      </c>
      <c r="P53" s="185">
        <f t="shared" si="11"/>
        <v>0</v>
      </c>
      <c r="Q53" s="185">
        <f t="shared" si="11"/>
        <v>0</v>
      </c>
      <c r="R53" s="185">
        <f t="shared" si="11"/>
        <v>0</v>
      </c>
      <c r="S53" s="185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2.75">
      <c r="A55" s="94"/>
      <c r="B55" s="95" t="s">
        <v>120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121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IF(YEAR(J$4)=PPLastYear,J$4,"")</f>
        <v/>
      </c>
      <c r="K57" s="159" t="str">
        <f t="shared" si="12"/>
        <v/>
      </c>
      <c r="L57" s="159" t="str">
        <f t="shared" si="12"/>
        <v/>
      </c>
      <c r="M57" s="159" t="str">
        <f t="shared" si="12"/>
        <v/>
      </c>
      <c r="N57" s="159">
        <f t="shared" si="12"/>
        <v>43617</v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122</v>
      </c>
      <c r="D59" s="30" t="s">
        <v>34</v>
      </c>
      <c r="E59" s="30" t="str">
        <f>$E$53</f>
        <v>$millions</v>
      </c>
      <c r="F59" s="170">
        <v>43617</v>
      </c>
      <c r="G59" s="32"/>
      <c r="H59" s="32"/>
      <c r="I59" s="32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>
      <c r="A60" s="29"/>
      <c r="B60" s="29"/>
      <c r="C60" s="61" t="s">
        <v>123</v>
      </c>
      <c r="D60" s="30" t="s">
        <v>34</v>
      </c>
      <c r="E60" s="30" t="str">
        <f t="shared" ref="E60:E65" si="13">$E$53</f>
        <v>$millions</v>
      </c>
      <c r="F60" s="170">
        <v>43617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 t="s">
        <v>124</v>
      </c>
      <c r="D61" s="30" t="s">
        <v>34</v>
      </c>
      <c r="E61" s="30" t="str">
        <f t="shared" si="13"/>
        <v>$millions</v>
      </c>
      <c r="F61" s="170">
        <v>43617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>
      <c r="A62" s="29"/>
      <c r="B62" s="29"/>
      <c r="C62" s="61" t="s">
        <v>125</v>
      </c>
      <c r="D62" s="30" t="s">
        <v>34</v>
      </c>
      <c r="E62" s="30" t="str">
        <f t="shared" si="13"/>
        <v>$millions</v>
      </c>
      <c r="F62" s="170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>
      <c r="A63" s="29"/>
      <c r="B63" s="29"/>
      <c r="C63" s="61" t="s">
        <v>126</v>
      </c>
      <c r="D63" s="30" t="s">
        <v>34</v>
      </c>
      <c r="E63" s="30" t="str">
        <f t="shared" si="13"/>
        <v>$millions</v>
      </c>
      <c r="F63" s="170">
        <v>43617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6"/>
      <c r="B64" s="196"/>
      <c r="C64" s="197"/>
      <c r="D64" s="105"/>
      <c r="E64" s="105"/>
      <c r="F64" s="198"/>
      <c r="G64" s="199"/>
      <c r="H64" s="199"/>
      <c r="I64" s="199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104"/>
      <c r="U64" s="165"/>
      <c r="V64" s="165"/>
      <c r="W64" s="196"/>
    </row>
    <row r="65" spans="1:23">
      <c r="A65" s="29"/>
      <c r="B65" s="29"/>
      <c r="C65" s="61" t="s">
        <v>171</v>
      </c>
      <c r="D65" s="30" t="s">
        <v>34</v>
      </c>
      <c r="E65" s="30" t="str">
        <f t="shared" si="13"/>
        <v>$millions</v>
      </c>
      <c r="F65" s="170">
        <v>43617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>
      <c r="A66" s="196"/>
      <c r="B66" s="196"/>
      <c r="C66" s="197"/>
      <c r="D66" s="105"/>
      <c r="E66" s="105"/>
      <c r="F66" s="198"/>
      <c r="G66" s="199"/>
      <c r="H66" s="199"/>
      <c r="I66" s="199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104"/>
      <c r="U66" s="165"/>
      <c r="V66" s="165"/>
      <c r="W66" s="196"/>
    </row>
    <row r="67" spans="1:23">
      <c r="A67" s="29"/>
      <c r="B67" s="29"/>
      <c r="C67" s="61" t="s">
        <v>93</v>
      </c>
      <c r="D67" s="30" t="s">
        <v>34</v>
      </c>
      <c r="E67" s="30" t="s">
        <v>31</v>
      </c>
      <c r="F67" s="32"/>
      <c r="G67" s="32"/>
      <c r="H67" s="32"/>
      <c r="I67" s="32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2.75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94" priority="36" operator="equal">
      <formula>"Check"</formula>
    </cfRule>
    <cfRule type="cellIs" dxfId="193" priority="37" operator="equal">
      <formula>"Ok"</formula>
    </cfRule>
  </conditionalFormatting>
  <conditionalFormatting sqref="W53">
    <cfRule type="cellIs" dxfId="192" priority="34" operator="equal">
      <formula>"Check"</formula>
    </cfRule>
    <cfRule type="cellIs" dxfId="191" priority="35" operator="equal">
      <formula>"Ok"</formula>
    </cfRule>
  </conditionalFormatting>
  <conditionalFormatting sqref="W15">
    <cfRule type="cellIs" dxfId="190" priority="32" operator="equal">
      <formula>"Check"</formula>
    </cfRule>
    <cfRule type="cellIs" dxfId="189" priority="33" operator="equal">
      <formula>"Ok"</formula>
    </cfRule>
  </conditionalFormatting>
  <conditionalFormatting sqref="V1">
    <cfRule type="cellIs" dxfId="188" priority="30" operator="equal">
      <formula>"Check"</formula>
    </cfRule>
    <cfRule type="cellIs" dxfId="187" priority="31" operator="equal">
      <formula>"Ok"</formula>
    </cfRule>
  </conditionalFormatting>
  <conditionalFormatting sqref="S1">
    <cfRule type="cellIs" dxfId="186" priority="28" operator="equal">
      <formula>"Check"</formula>
    </cfRule>
    <cfRule type="cellIs" dxfId="185" priority="29" operator="equal">
      <formula>"Ok"</formula>
    </cfRule>
  </conditionalFormatting>
  <conditionalFormatting sqref="J15:S15">
    <cfRule type="cellIs" dxfId="184" priority="27" operator="equal">
      <formula>0</formula>
    </cfRule>
  </conditionalFormatting>
  <conditionalFormatting sqref="J53:S53">
    <cfRule type="cellIs" dxfId="183" priority="26" operator="equal">
      <formula>0</formula>
    </cfRule>
  </conditionalFormatting>
  <conditionalFormatting sqref="W45:W47">
    <cfRule type="cellIs" dxfId="182" priority="24" operator="equal">
      <formula>"Check"</formula>
    </cfRule>
    <cfRule type="cellIs" dxfId="181" priority="25" operator="equal">
      <formula>"Ok"</formula>
    </cfRule>
  </conditionalFormatting>
  <conditionalFormatting sqref="J40:S42 J48:S48 J33:S33 K49:S51 J38:L39 N37:S39">
    <cfRule type="expression" dxfId="180" priority="22">
      <formula>J$34=J$4</formula>
    </cfRule>
  </conditionalFormatting>
  <conditionalFormatting sqref="O13:S13 J20:S27 O19:S19">
    <cfRule type="expression" dxfId="179" priority="21">
      <formula>J$10=J$4</formula>
    </cfRule>
  </conditionalFormatting>
  <conditionalFormatting sqref="K37:L37">
    <cfRule type="expression" dxfId="178" priority="18">
      <formula>K$10=K$4</formula>
    </cfRule>
  </conditionalFormatting>
  <conditionalFormatting sqref="W44">
    <cfRule type="cellIs" dxfId="177" priority="16" operator="equal">
      <formula>"Check"</formula>
    </cfRule>
    <cfRule type="cellIs" dxfId="176" priority="17" operator="equal">
      <formula>"Ok"</formula>
    </cfRule>
  </conditionalFormatting>
  <conditionalFormatting sqref="J44:S44">
    <cfRule type="cellIs" dxfId="175" priority="14" operator="equal">
      <formula>0</formula>
    </cfRule>
  </conditionalFormatting>
  <conditionalFormatting sqref="J59:S63 J65:S65 J67:S67">
    <cfRule type="expression" dxfId="174" priority="13">
      <formula>J$57=J$4</formula>
    </cfRule>
  </conditionalFormatting>
  <conditionalFormatting sqref="W29">
    <cfRule type="cellIs" dxfId="173" priority="9" operator="equal">
      <formula>"Check"</formula>
    </cfRule>
    <cfRule type="cellIs" dxfId="172" priority="10" operator="equal">
      <formula>"Ok"</formula>
    </cfRule>
  </conditionalFormatting>
  <conditionalFormatting sqref="J29:S29">
    <cfRule type="cellIs" dxfId="171" priority="8" operator="equal">
      <formula>0</formula>
    </cfRule>
  </conditionalFormatting>
  <conditionalFormatting sqref="J37">
    <cfRule type="expression" dxfId="170" priority="5">
      <formula>J$10=J$4</formula>
    </cfRule>
  </conditionalFormatting>
  <conditionalFormatting sqref="J49:J51">
    <cfRule type="expression" dxfId="169" priority="4">
      <formula>J$34=J$4</formula>
    </cfRule>
  </conditionalFormatting>
  <conditionalFormatting sqref="J13:N13">
    <cfRule type="expression" dxfId="168" priority="3">
      <formula>J$10=J$4</formula>
    </cfRule>
  </conditionalFormatting>
  <conditionalFormatting sqref="J19:N19">
    <cfRule type="expression" dxfId="167" priority="2">
      <formula>J$10=J$4</formula>
    </cfRule>
  </conditionalFormatting>
  <conditionalFormatting sqref="M38:M39">
    <cfRule type="expression" dxfId="166" priority="1">
      <formula>M$34=M$4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70"/>
  <sheetViews>
    <sheetView showGridLines="0" topLeftCell="A16" workbookViewId="0">
      <selection activeCell="U37" sqref="U37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Check</v>
      </c>
      <c r="V1" s="186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1"/>
      <c r="E3" s="181"/>
      <c r="F3" s="181"/>
      <c r="G3" s="181"/>
      <c r="H3" s="181"/>
      <c r="I3" s="181"/>
      <c r="J3" s="158" t="s">
        <v>131</v>
      </c>
      <c r="K3" s="221"/>
      <c r="L3" s="221"/>
      <c r="M3" s="221"/>
      <c r="N3" s="181"/>
      <c r="O3" s="221"/>
      <c r="P3" s="221"/>
      <c r="Q3" s="221"/>
      <c r="R3" s="221"/>
      <c r="S3" s="221"/>
      <c r="T3" s="221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2.0000000000000018E-2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1.0670443814919734</v>
      </c>
      <c r="O16" s="22">
        <f t="shared" ref="O16" si="4">IF(AND($C16&gt;O$14,ISNONTEXT($C16)),P16/(1+O$12),IF(AND($C16=O$14,O$14=O$4),1,IF(AND($C16&lt;O$14,O$14=O$4),N16*(1+O$12),0)))</f>
        <v>1.088385269121813</v>
      </c>
      <c r="P16" s="207"/>
      <c r="Q16" s="207"/>
      <c r="R16" s="207"/>
      <c r="S16" s="207"/>
      <c r="T16" s="207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>IF(AND($C17&gt;J$14,ISNONTEXT($C17)),K17/(1+K$12),IF(AND($C17=J$14,J$14=J$4),1,IF(AND($C17&lt;J$14,J$14=J$4),I17*(1+J$12),0)))</f>
        <v>0.98511627906976751</v>
      </c>
      <c r="K17" s="22">
        <f t="shared" ref="K17:N17" si="6">IF(AND($C17&gt;K$14,ISNONTEXT($C17)),L17/(1+L$12),IF(AND($C17=K$14,K$14=K$4),1,IF(AND($C17&lt;K$14,K$14=K$4),J17*(1+K$12),0)))</f>
        <v>1</v>
      </c>
      <c r="L17" s="22">
        <f t="shared" si="6"/>
        <v>1.0102325581395348</v>
      </c>
      <c r="M17" s="22">
        <f t="shared" si="6"/>
        <v>1.029767441860465</v>
      </c>
      <c r="N17" s="22">
        <f t="shared" si="6"/>
        <v>1.0511627906976744</v>
      </c>
      <c r="O17" s="22">
        <f t="shared" ref="O17" si="7">IF(AND($C17&gt;O$14,ISNONTEXT($C17)),P17/(1+O$12),IF(AND($C17=O$14,O$14=O$4),1,IF(AND($C17&lt;O$14,O$14=O$4),N17*(1+O$12),0)))</f>
        <v>1.072186046511628</v>
      </c>
      <c r="P17" s="207"/>
      <c r="Q17" s="207"/>
      <c r="R17" s="207"/>
      <c r="S17" s="207"/>
      <c r="T17" s="207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0.97513812154696156</v>
      </c>
      <c r="K18" s="22">
        <f t="shared" si="8"/>
        <v>0.98987108655616951</v>
      </c>
      <c r="L18" s="22">
        <f t="shared" si="8"/>
        <v>1</v>
      </c>
      <c r="M18" s="22">
        <f t="shared" si="8"/>
        <v>1.0193370165745856</v>
      </c>
      <c r="N18" s="22">
        <f t="shared" si="8"/>
        <v>1.0405156537753224</v>
      </c>
      <c r="O18" s="22">
        <f t="shared" ref="O18" si="9">IF(AND($C18&gt;O$14,ISNONTEXT($C18)),P18/(1+O$12),IF(AND($C18=O$14,O$14=O$4),1,IF(AND($C18&lt;O$14,O$14=O$4),N18*(1+O$12),0)))</f>
        <v>1.0613259668508288</v>
      </c>
      <c r="P18" s="207"/>
      <c r="Q18" s="207"/>
      <c r="R18" s="207"/>
      <c r="S18" s="207"/>
      <c r="T18" s="207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0.95663956639566416</v>
      </c>
      <c r="K19" s="22">
        <f t="shared" si="10"/>
        <v>0.97109304426377607</v>
      </c>
      <c r="L19" s="22">
        <f t="shared" si="10"/>
        <v>0.98102981029810299</v>
      </c>
      <c r="M19" s="22">
        <f t="shared" si="10"/>
        <v>1</v>
      </c>
      <c r="N19" s="22">
        <f t="shared" si="10"/>
        <v>1.0207768744354111</v>
      </c>
      <c r="O19" s="22">
        <f t="shared" ref="O19" si="11">IF(AND($C19&gt;O$14,ISNONTEXT($C19)),P19/(1+O$12),IF(AND($C19=O$14,O$14=O$4),1,IF(AND($C19&lt;O$14,O$14=O$4),N19*(1+O$12),0)))</f>
        <v>1.0411924119241194</v>
      </c>
      <c r="P19" s="207"/>
      <c r="Q19" s="207"/>
      <c r="R19" s="207"/>
      <c r="S19" s="207"/>
      <c r="T19" s="207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0.93716814159292039</v>
      </c>
      <c r="K20" s="22">
        <f t="shared" ref="K20:N20" si="12">IF(AND($C20&gt;K$14,ISNONTEXT($C20)),L20/(1+L$12),IF(AND($C20=K$14,K$14=K$4),1,IF(AND($C20&lt;K$14,K$14=K$4),J20*(1+K$12),0)))</f>
        <v>0.95132743362831851</v>
      </c>
      <c r="L20" s="22">
        <f t="shared" si="12"/>
        <v>0.96106194690265478</v>
      </c>
      <c r="M20" s="22">
        <f t="shared" si="12"/>
        <v>0.97964601769911497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1.02</v>
      </c>
      <c r="P20" s="207"/>
      <c r="Q20" s="207"/>
      <c r="R20" s="207"/>
      <c r="S20" s="207"/>
      <c r="T20" s="207"/>
    </row>
    <row r="21" spans="1:50" ht="11.25" customHeight="1" outlineLevel="1">
      <c r="C21" s="166">
        <v>43617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0.91879229567933363</v>
      </c>
      <c r="K21" s="22">
        <f t="shared" ref="K21" si="14">IF(AND($C21&gt;K$14,ISNONTEXT($C21)),L21/(1+L$12),IF(AND($C21=K$14,K$14=K$4),1,IF(AND($C21&lt;K$14,K$14=K$4),J21*(1+K$12),0)))</f>
        <v>0.93267395453756707</v>
      </c>
      <c r="L21" s="22">
        <f t="shared" ref="L21" si="15">IF(AND($C21&gt;L$14,ISNONTEXT($C21)),M21/(1+M$12),IF(AND($C21=L$14,L$14=L$4),1,IF(AND($C21&lt;L$14,L$14=L$4),K21*(1+L$12),0)))</f>
        <v>0.9422175950026026</v>
      </c>
      <c r="M21" s="22">
        <f t="shared" ref="M21" si="16">IF(AND($C21&gt;M$14,ISNONTEXT($C21)),N21/(1+N$12),IF(AND($C21=M$14,M$14=M$4),1,IF(AND($C21&lt;M$14,M$14=M$4),L21*(1+M$12),0)))</f>
        <v>0.96043727225403419</v>
      </c>
      <c r="N21" s="22">
        <f t="shared" ref="N21" si="17">IF(AND($C21&gt;N$14,ISNONTEXT($C21)),O21/(1+O$12),IF(AND($C21=N$14,N$14=N$4),1,IF(AND($C21&lt;N$14,N$14=N$4),M21*(1+N$12),0)))</f>
        <v>0.98039215686274506</v>
      </c>
      <c r="O21" s="22">
        <f t="shared" ref="O21" si="18">IF(AND($C21&gt;O$14,ISNONTEXT($C21)),P21/(1+O$12),IF(AND($C21=O$14,O$14=O$4),1,IF(AND($C21&lt;O$14,O$14=O$4),N21*(1+O$12),0)))</f>
        <v>1</v>
      </c>
      <c r="P21" s="207"/>
      <c r="Q21" s="207"/>
      <c r="R21" s="207"/>
      <c r="S21" s="207"/>
      <c r="T21" s="207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41791</v>
      </c>
      <c r="K23" s="159">
        <f t="shared" si="19"/>
        <v>42156</v>
      </c>
      <c r="L23" s="159">
        <f t="shared" si="19"/>
        <v>42522</v>
      </c>
      <c r="M23" s="159">
        <f t="shared" si="19"/>
        <v>42887</v>
      </c>
      <c r="N23" s="159">
        <f t="shared" si="19"/>
        <v>43252</v>
      </c>
      <c r="O23" s="159">
        <f t="shared" si="19"/>
        <v>43617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21">IF(AND(K$23=K$4,ISNONTEXT($C25)),1/K16*(1+K$12)^0.5,0)</f>
        <v>0.99253024088426012</v>
      </c>
      <c r="L25" s="22">
        <f t="shared" si="21"/>
        <v>0.98011450243194831</v>
      </c>
      <c r="M25" s="22">
        <f t="shared" si="21"/>
        <v>0.96584455776929623</v>
      </c>
      <c r="N25" s="22">
        <f t="shared" si="21"/>
        <v>0.94685380318889867</v>
      </c>
      <c r="O25" s="22">
        <f t="shared" si="21"/>
        <v>0.92793473275424621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1.030300538625134</v>
      </c>
      <c r="K26" s="22">
        <f t="shared" si="23"/>
        <v>1.0075259763461564</v>
      </c>
      <c r="L26" s="22">
        <f t="shared" si="23"/>
        <v>0.99492265355462162</v>
      </c>
      <c r="M26" s="22">
        <f t="shared" si="23"/>
        <v>0.98043711010575396</v>
      </c>
      <c r="N26" s="22">
        <f t="shared" si="23"/>
        <v>0.96115943194340514</v>
      </c>
      <c r="O26" s="22">
        <f t="shared" si="23"/>
        <v>0.94195452097338483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1.0408431487878098</v>
      </c>
      <c r="K27" s="22">
        <f t="shared" si="24"/>
        <v>1.0178355444762099</v>
      </c>
      <c r="L27" s="22">
        <f t="shared" si="24"/>
        <v>1.0051032574514596</v>
      </c>
      <c r="M27" s="22">
        <f t="shared" si="24"/>
        <v>0.99046948983706851</v>
      </c>
      <c r="N27" s="22">
        <f t="shared" si="24"/>
        <v>0.97099455171212823</v>
      </c>
      <c r="O27" s="22">
        <f t="shared" si="24"/>
        <v>0.95159312537404273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1.0609699500074634</v>
      </c>
      <c r="K28" s="22">
        <f t="shared" si="25"/>
        <v>1.0375174472699489</v>
      </c>
      <c r="L28" s="22">
        <f t="shared" si="25"/>
        <v>1.0245389557999685</v>
      </c>
      <c r="M28" s="22">
        <f t="shared" si="25"/>
        <v>1.0096222147786693</v>
      </c>
      <c r="N28" s="22">
        <f t="shared" si="25"/>
        <v>0.98977068945241797</v>
      </c>
      <c r="O28" s="22">
        <f t="shared" si="25"/>
        <v>0.9699940974116622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1.0830135894385131</v>
      </c>
      <c r="K29" s="22">
        <f t="shared" si="26"/>
        <v>1.0590738169964251</v>
      </c>
      <c r="L29" s="22">
        <f t="shared" si="26"/>
        <v>1.0458256730388116</v>
      </c>
      <c r="M29" s="22">
        <f t="shared" si="26"/>
        <v>1.0305990087623274</v>
      </c>
      <c r="N29" s="22">
        <f t="shared" si="26"/>
        <v>1.0103350307870211</v>
      </c>
      <c r="O29" s="22">
        <f t="shared" si="26"/>
        <v>0.99014754297667429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1.1046738612272835</v>
      </c>
      <c r="K30" s="22">
        <f t="shared" si="27"/>
        <v>1.0802552933363536</v>
      </c>
      <c r="L30" s="22">
        <f t="shared" si="27"/>
        <v>1.0667421864995881</v>
      </c>
      <c r="M30" s="22">
        <f t="shared" si="27"/>
        <v>1.051210988937574</v>
      </c>
      <c r="N30" s="22">
        <f t="shared" si="27"/>
        <v>1.0305417314027616</v>
      </c>
      <c r="O30" s="22">
        <f t="shared" si="27"/>
        <v>1.0099504938362078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43983</v>
      </c>
      <c r="Q34" s="163">
        <f t="shared" si="28"/>
        <v>44348</v>
      </c>
      <c r="R34" s="163">
        <f t="shared" si="28"/>
        <v>44713</v>
      </c>
      <c r="S34" s="163">
        <f t="shared" si="28"/>
        <v>45078</v>
      </c>
      <c r="T34" s="163">
        <f t="shared" si="28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130</v>
      </c>
      <c r="D36" s="30" t="s">
        <v>106</v>
      </c>
      <c r="E36" s="30" t="str">
        <f t="shared" ref="E36:E43" si="29">percent</f>
        <v>Per cent</v>
      </c>
      <c r="J36" s="208"/>
      <c r="K36" s="208"/>
      <c r="L36" s="208"/>
      <c r="M36" s="208"/>
      <c r="N36" s="208"/>
      <c r="O36" s="208"/>
      <c r="P36" s="219">
        <v>-1.9998746507710052E-5</v>
      </c>
      <c r="Q36" s="219">
        <v>5.8343016719275553E-4</v>
      </c>
      <c r="R36" s="219">
        <v>5.6862862819597737E-3</v>
      </c>
      <c r="S36" s="219">
        <v>8.3088127500947628E-3</v>
      </c>
      <c r="T36" s="219">
        <v>8.3577443916023064E-3</v>
      </c>
    </row>
    <row r="37" spans="3:23" ht="11.25" customHeight="1" outlineLevel="1">
      <c r="C37" s="61" t="s">
        <v>198</v>
      </c>
      <c r="D37" s="30" t="s">
        <v>106</v>
      </c>
      <c r="E37" s="30" t="str">
        <f t="shared" si="29"/>
        <v>Per cent</v>
      </c>
      <c r="J37" s="208"/>
      <c r="K37" s="208"/>
      <c r="L37" s="208"/>
      <c r="M37" s="208"/>
      <c r="N37" s="208"/>
      <c r="O37" s="208"/>
      <c r="P37" s="60">
        <v>9.7512534246033053E-3</v>
      </c>
      <c r="Q37" s="60">
        <v>1.4751253424603303E-2</v>
      </c>
      <c r="R37" s="60">
        <v>1.7751253424603305E-2</v>
      </c>
      <c r="S37" s="60">
        <v>1.7751253424603305E-2</v>
      </c>
      <c r="T37" s="60">
        <v>1.3751253424603302E-2</v>
      </c>
    </row>
    <row r="38" spans="3:23" ht="11.25" customHeight="1" outlineLevel="1">
      <c r="C38" s="61" t="s">
        <v>199</v>
      </c>
      <c r="D38" s="30" t="s">
        <v>106</v>
      </c>
      <c r="E38" s="30" t="str">
        <f t="shared" si="29"/>
        <v>Per cent</v>
      </c>
      <c r="J38" s="208"/>
      <c r="K38" s="208"/>
      <c r="L38" s="208"/>
      <c r="M38" s="208"/>
      <c r="N38" s="208"/>
      <c r="O38" s="208"/>
      <c r="P38" s="60">
        <f t="shared" ref="P38:T38" si="30">AVERAGE(P36:P37)</f>
        <v>4.8656273390477976E-3</v>
      </c>
      <c r="Q38" s="60">
        <f t="shared" si="30"/>
        <v>7.6673417958980292E-3</v>
      </c>
      <c r="R38" s="60">
        <f t="shared" si="30"/>
        <v>1.171876985328154E-2</v>
      </c>
      <c r="S38" s="60">
        <f t="shared" si="30"/>
        <v>1.3030033087349034E-2</v>
      </c>
      <c r="T38" s="60">
        <f t="shared" si="30"/>
        <v>1.1054498908102804E-2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8"/>
      <c r="K39" s="208"/>
      <c r="L39" s="208"/>
      <c r="M39" s="208"/>
      <c r="N39" s="208"/>
      <c r="O39" s="208"/>
      <c r="P39" s="60"/>
      <c r="Q39" s="60"/>
      <c r="R39" s="60"/>
      <c r="S39" s="60"/>
      <c r="T39" s="60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8"/>
      <c r="K43" s="208"/>
      <c r="L43" s="208"/>
      <c r="M43" s="208"/>
      <c r="N43" s="208"/>
      <c r="O43" s="208"/>
      <c r="P43" s="208">
        <v>0</v>
      </c>
      <c r="Q43" s="208">
        <v>0</v>
      </c>
      <c r="R43" s="208">
        <v>0</v>
      </c>
      <c r="S43" s="208">
        <v>0</v>
      </c>
      <c r="T43" s="208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43983</v>
      </c>
      <c r="Q47" s="163">
        <f t="shared" si="32"/>
        <v>44348</v>
      </c>
      <c r="R47" s="163">
        <f t="shared" si="32"/>
        <v>44713</v>
      </c>
      <c r="S47" s="163">
        <f t="shared" si="32"/>
        <v>45078</v>
      </c>
      <c r="T47" s="163">
        <f t="shared" si="32"/>
        <v>45444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106</v>
      </c>
      <c r="E49" s="30" t="str">
        <f t="shared" ref="E49:E56" si="34">percent</f>
        <v>Per cent</v>
      </c>
      <c r="J49" s="208"/>
      <c r="K49" s="208"/>
      <c r="L49" s="208"/>
      <c r="M49" s="208"/>
      <c r="N49" s="208"/>
      <c r="O49" s="208"/>
      <c r="P49" s="211">
        <v>0</v>
      </c>
      <c r="Q49" s="211">
        <v>0</v>
      </c>
      <c r="R49" s="211">
        <v>0</v>
      </c>
      <c r="S49" s="211">
        <v>0</v>
      </c>
      <c r="T49" s="208">
        <v>0</v>
      </c>
    </row>
    <row r="50" spans="1:50" ht="11.25" customHeight="1" outlineLevel="1">
      <c r="C50" s="148" t="str">
        <f t="shared" si="33"/>
        <v>WPI - BIS</v>
      </c>
      <c r="D50" s="30" t="s">
        <v>106</v>
      </c>
      <c r="E50" s="30" t="str">
        <f t="shared" si="34"/>
        <v>Per cent</v>
      </c>
      <c r="J50" s="208"/>
      <c r="K50" s="208"/>
      <c r="L50" s="208"/>
      <c r="M50" s="208"/>
      <c r="N50" s="208"/>
      <c r="O50" s="208"/>
      <c r="P50" s="211">
        <v>0</v>
      </c>
      <c r="Q50" s="211">
        <v>0</v>
      </c>
      <c r="R50" s="211">
        <v>0</v>
      </c>
      <c r="S50" s="211">
        <v>0</v>
      </c>
      <c r="T50" s="208">
        <v>0</v>
      </c>
    </row>
    <row r="51" spans="1:50" ht="11.25" customHeight="1" outlineLevel="1">
      <c r="C51" s="148" t="str">
        <f t="shared" si="33"/>
        <v>WPI - average of DAE and BIS</v>
      </c>
      <c r="D51" s="30" t="s">
        <v>106</v>
      </c>
      <c r="E51" s="30" t="str">
        <f t="shared" si="34"/>
        <v>Per cent</v>
      </c>
      <c r="J51" s="208"/>
      <c r="K51" s="208"/>
      <c r="L51" s="208"/>
      <c r="M51" s="208"/>
      <c r="N51" s="208"/>
      <c r="O51" s="208"/>
      <c r="P51" s="210">
        <v>0.59699999999999998</v>
      </c>
      <c r="Q51" s="214">
        <v>0.59699999999999998</v>
      </c>
      <c r="R51" s="210">
        <v>0.59699999999999998</v>
      </c>
      <c r="S51" s="210">
        <v>0.59699999999999998</v>
      </c>
      <c r="T51" s="208">
        <v>0.59699999999999998</v>
      </c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8"/>
      <c r="K52" s="208"/>
      <c r="L52" s="208"/>
      <c r="M52" s="208"/>
      <c r="N52" s="208"/>
      <c r="O52" s="208"/>
      <c r="P52" s="60"/>
      <c r="Q52" s="211"/>
      <c r="R52" s="152"/>
      <c r="S52" s="152"/>
      <c r="T52" s="208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8"/>
      <c r="K53" s="208"/>
      <c r="L53" s="208"/>
      <c r="M53" s="208"/>
      <c r="N53" s="208"/>
      <c r="O53" s="208"/>
      <c r="P53" s="60"/>
      <c r="Q53" s="211"/>
      <c r="R53" s="152"/>
      <c r="S53" s="152"/>
      <c r="T53" s="208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8"/>
      <c r="K54" s="208"/>
      <c r="L54" s="208"/>
      <c r="M54" s="208"/>
      <c r="N54" s="208"/>
      <c r="O54" s="208"/>
      <c r="P54" s="60"/>
      <c r="Q54" s="211"/>
      <c r="R54" s="152"/>
      <c r="S54" s="152"/>
      <c r="T54" s="208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8"/>
      <c r="K55" s="208"/>
      <c r="L55" s="208"/>
      <c r="M55" s="208"/>
      <c r="N55" s="208"/>
      <c r="O55" s="208"/>
      <c r="P55" s="60"/>
      <c r="Q55" s="211"/>
      <c r="R55" s="152"/>
      <c r="S55" s="152"/>
      <c r="T55" s="208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8"/>
      <c r="K56" s="208"/>
      <c r="L56" s="208"/>
      <c r="M56" s="208"/>
      <c r="N56" s="208"/>
      <c r="O56" s="208"/>
      <c r="P56" s="210">
        <v>0.40300000000000002</v>
      </c>
      <c r="Q56" s="214">
        <v>0.40300000000000002</v>
      </c>
      <c r="R56" s="214">
        <v>0.40300000000000002</v>
      </c>
      <c r="S56" s="214">
        <v>0.40300000000000002</v>
      </c>
      <c r="T56" s="208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43617</v>
      </c>
      <c r="P62" s="163">
        <f t="shared" si="36"/>
        <v>43983</v>
      </c>
      <c r="Q62" s="163">
        <f t="shared" si="36"/>
        <v>44348</v>
      </c>
      <c r="R62" s="163">
        <f t="shared" si="36"/>
        <v>44713</v>
      </c>
      <c r="S62" s="163">
        <f t="shared" si="36"/>
        <v>45078</v>
      </c>
      <c r="T62" s="163">
        <f t="shared" si="36"/>
        <v>45444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188</v>
      </c>
      <c r="D64" s="30" t="s">
        <v>106</v>
      </c>
      <c r="E64" s="30" t="s">
        <v>18</v>
      </c>
      <c r="F64" s="30" t="s">
        <v>36</v>
      </c>
      <c r="G64" s="32"/>
      <c r="H64" s="32"/>
      <c r="J64" s="203"/>
      <c r="K64" s="194"/>
      <c r="L64" s="194"/>
      <c r="M64" s="194"/>
      <c r="N64" s="194"/>
      <c r="O64" s="220">
        <v>1020707.6116325484</v>
      </c>
      <c r="P64" s="220">
        <v>1043718.0458079547</v>
      </c>
      <c r="Q64" s="220">
        <v>1064094.6562063803</v>
      </c>
      <c r="R64" s="220">
        <v>1084269.2815307423</v>
      </c>
      <c r="S64" s="220">
        <v>1104565.0749452061</v>
      </c>
      <c r="T64" s="220">
        <v>1125865.4598557616</v>
      </c>
    </row>
    <row r="65" spans="3:23" outlineLevel="1">
      <c r="C65" s="61" t="s">
        <v>116</v>
      </c>
      <c r="D65" s="30" t="s">
        <v>106</v>
      </c>
      <c r="E65" s="30" t="s">
        <v>18</v>
      </c>
      <c r="F65" s="30" t="s">
        <v>36</v>
      </c>
      <c r="G65" s="32"/>
      <c r="H65" s="32"/>
      <c r="J65" s="203"/>
      <c r="K65" s="194"/>
      <c r="L65" s="194"/>
      <c r="M65" s="194"/>
      <c r="N65" s="194"/>
      <c r="O65" s="220">
        <v>37622.428113119044</v>
      </c>
      <c r="P65" s="220">
        <v>38251.816849238094</v>
      </c>
      <c r="Q65" s="220">
        <v>38881.205585357136</v>
      </c>
      <c r="R65" s="220">
        <v>39510.594321476179</v>
      </c>
      <c r="S65" s="220">
        <v>40139.983057595229</v>
      </c>
      <c r="T65" s="220">
        <v>40769.371793714279</v>
      </c>
    </row>
    <row r="66" spans="3:23" outlineLevel="1">
      <c r="C66" s="61" t="s">
        <v>115</v>
      </c>
      <c r="D66" s="30" t="s">
        <v>106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194"/>
      <c r="O66" s="220">
        <v>4344</v>
      </c>
      <c r="P66" s="220">
        <v>4344</v>
      </c>
      <c r="Q66" s="220">
        <v>4344</v>
      </c>
      <c r="R66" s="220">
        <v>4436</v>
      </c>
      <c r="S66" s="220">
        <v>4517</v>
      </c>
      <c r="T66" s="220">
        <v>4595</v>
      </c>
    </row>
    <row r="67" spans="3:23" outlineLevel="1">
      <c r="C67" s="61" t="s">
        <v>200</v>
      </c>
      <c r="D67" s="30" t="s">
        <v>106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/>
      <c r="O67" s="195">
        <v>16312.978833564262</v>
      </c>
      <c r="P67" s="195">
        <v>16621.350436486166</v>
      </c>
      <c r="Q67" s="195">
        <v>16729.809169725868</v>
      </c>
      <c r="R67" s="195">
        <v>16831.142896774763</v>
      </c>
      <c r="S67" s="195">
        <v>16953.689234456157</v>
      </c>
      <c r="T67" s="195">
        <v>17227.734255995711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/>
      <c r="P68" s="195"/>
      <c r="Q68" s="195"/>
      <c r="R68" s="195"/>
      <c r="S68" s="195"/>
      <c r="T68" s="195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/>
      <c r="P69" s="195"/>
      <c r="Q69" s="195"/>
      <c r="R69" s="195"/>
      <c r="S69" s="195"/>
      <c r="T69" s="195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43983</v>
      </c>
      <c r="Q73" s="163">
        <f t="shared" si="38"/>
        <v>44348</v>
      </c>
      <c r="R73" s="163">
        <f t="shared" si="38"/>
        <v>44713</v>
      </c>
      <c r="S73" s="163">
        <f t="shared" si="38"/>
        <v>45078</v>
      </c>
      <c r="T73" s="163">
        <f t="shared" si="38"/>
        <v>45444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connection numbers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2.2293258252881643E-2</v>
      </c>
      <c r="Q75" s="117">
        <f t="shared" si="40"/>
        <v>1.9334967642985035E-2</v>
      </c>
      <c r="R75" s="117">
        <f t="shared" si="40"/>
        <v>1.8781937301392659E-2</v>
      </c>
      <c r="S75" s="117">
        <f t="shared" si="40"/>
        <v>1.8545373291409817E-2</v>
      </c>
      <c r="T75" s="117">
        <f t="shared" si="40"/>
        <v>1.910037739288839E-2</v>
      </c>
    </row>
    <row r="76" spans="3:23" outlineLevel="1">
      <c r="C76" s="148" t="str">
        <f t="shared" ref="C76:C80" si="41">C65</f>
        <v>Circuit length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1.6590693535798451E-2</v>
      </c>
      <c r="Q76" s="117">
        <f t="shared" si="42"/>
        <v>1.631992849436692E-2</v>
      </c>
      <c r="R76" s="117">
        <f t="shared" si="42"/>
        <v>1.6057859649967199E-2</v>
      </c>
      <c r="S76" s="117">
        <f t="shared" si="42"/>
        <v>1.580407466996725E-2</v>
      </c>
      <c r="T76" s="117">
        <f t="shared" si="42"/>
        <v>1.5558186884478076E-2</v>
      </c>
    </row>
    <row r="77" spans="3:23" outlineLevel="1">
      <c r="C77" s="148" t="str">
        <f t="shared" si="41"/>
        <v>Ratcheted maximum demand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0</v>
      </c>
      <c r="Q77" s="117">
        <f t="shared" si="43"/>
        <v>0</v>
      </c>
      <c r="R77" s="117">
        <f t="shared" si="43"/>
        <v>2.0957486856486796E-2</v>
      </c>
      <c r="S77" s="117">
        <f t="shared" si="43"/>
        <v>1.8094987184346323E-2</v>
      </c>
      <c r="T77" s="117">
        <f t="shared" si="43"/>
        <v>1.712069913518377E-2</v>
      </c>
    </row>
    <row r="78" spans="3:23" outlineLevel="1">
      <c r="C78" s="148" t="str">
        <f t="shared" si="41"/>
        <v>Energy throughput (GWh)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1.8727001392111475E-2</v>
      </c>
      <c r="Q78" s="117">
        <f t="shared" si="44"/>
        <v>6.5040686358948108E-3</v>
      </c>
      <c r="R78" s="117">
        <f t="shared" si="44"/>
        <v>6.0388057403226725E-3</v>
      </c>
      <c r="S78" s="117">
        <f t="shared" si="44"/>
        <v>7.2545498913445527E-3</v>
      </c>
      <c r="T78" s="117">
        <f t="shared" si="44"/>
        <v>1.6035077857262436E-2</v>
      </c>
    </row>
    <row r="79" spans="3:23" outlineLevel="1">
      <c r="C79" s="148">
        <f t="shared" si="41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7" t="s">
        <v>189</v>
      </c>
      <c r="K82" s="217" t="s">
        <v>190</v>
      </c>
      <c r="L82" s="217" t="s">
        <v>191</v>
      </c>
      <c r="M82" s="217" t="s">
        <v>192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connection numbers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0.77131394182547641</v>
      </c>
      <c r="K84" s="60">
        <v>0.69699999999999995</v>
      </c>
      <c r="L84" s="60">
        <v>0.59840000000000004</v>
      </c>
      <c r="M84" s="60">
        <v>0.45800000000000002</v>
      </c>
      <c r="N84" s="192"/>
      <c r="O84" s="192"/>
      <c r="P84" s="192"/>
      <c r="Q84" s="192"/>
      <c r="R84" s="192"/>
      <c r="S84" s="192"/>
      <c r="T84" s="192"/>
    </row>
    <row r="85" spans="3:23" outlineLevel="1">
      <c r="C85" s="148" t="str">
        <f t="shared" ref="C85:C89" si="47">C65</f>
        <v>Circuit length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9.7291875626880645E-2</v>
      </c>
      <c r="K85" s="60">
        <v>0.112</v>
      </c>
      <c r="L85" s="60">
        <v>0.1123</v>
      </c>
      <c r="M85" s="60">
        <v>0.23799999999999999</v>
      </c>
      <c r="N85" s="192"/>
      <c r="O85" s="192"/>
      <c r="P85" s="192"/>
      <c r="Q85" s="192"/>
      <c r="R85" s="192"/>
      <c r="S85" s="192"/>
      <c r="T85" s="192"/>
    </row>
    <row r="86" spans="3:23" outlineLevel="1">
      <c r="C86" s="148" t="str">
        <f t="shared" si="47"/>
        <v>Ratcheted maximum demand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0.13139418254764293</v>
      </c>
      <c r="K86" s="60">
        <v>0.191</v>
      </c>
      <c r="L86" s="60">
        <v>0.28939999999999999</v>
      </c>
      <c r="M86" s="60">
        <v>0.17599999999999999</v>
      </c>
      <c r="N86" s="192"/>
      <c r="O86" s="192"/>
      <c r="P86" s="192"/>
      <c r="Q86" s="192"/>
      <c r="R86" s="192"/>
      <c r="S86" s="192"/>
      <c r="T86" s="192"/>
    </row>
    <row r="87" spans="3:23" outlineLevel="1">
      <c r="C87" s="148" t="str">
        <f t="shared" si="47"/>
        <v>Energy throughput (GWh)</v>
      </c>
      <c r="D87" s="30" t="s">
        <v>106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0.128</v>
      </c>
      <c r="N87" s="192"/>
      <c r="O87" s="192"/>
      <c r="P87" s="192"/>
      <c r="Q87" s="192"/>
      <c r="R87" s="192"/>
      <c r="S87" s="192"/>
      <c r="T87" s="192"/>
    </row>
    <row r="88" spans="3:23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2"/>
      <c r="O88" s="192"/>
      <c r="P88" s="192"/>
      <c r="Q88" s="192"/>
      <c r="R88" s="192"/>
      <c r="S88" s="192"/>
      <c r="T88" s="192"/>
    </row>
    <row r="89" spans="3:23" outlineLevel="1">
      <c r="C89" s="148">
        <f t="shared" si="47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2"/>
      <c r="O89" s="192"/>
      <c r="P89" s="192"/>
      <c r="Q89" s="192"/>
      <c r="R89" s="192"/>
      <c r="S89" s="192"/>
      <c r="T89" s="192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Check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Check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193</v>
      </c>
      <c r="D93" s="32" t="s">
        <v>7</v>
      </c>
      <c r="E93" s="32" t="s">
        <v>8</v>
      </c>
      <c r="F93" s="32" t="s">
        <v>22</v>
      </c>
      <c r="J93" s="163" t="str">
        <f t="shared" ref="J93:Q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43983</v>
      </c>
      <c r="Q93" s="163">
        <f t="shared" si="48"/>
        <v>44348</v>
      </c>
      <c r="R93" s="163">
        <f t="shared" ref="R93:T93" si="49">IF(YEAR(R$4)&gt;BaseYear,IF(YEAR(R$4)&lt;=FPLastYear,R$4,""),"")</f>
        <v>44713</v>
      </c>
      <c r="S93" s="163">
        <f t="shared" si="49"/>
        <v>45078</v>
      </c>
      <c r="T93" s="163">
        <f t="shared" si="49"/>
        <v>45444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50">IF(J$93=J$4,SUMPRODUCT(J$75:J$80,$J$84:$J$89),"")</f>
        <v/>
      </c>
      <c r="K95" s="117" t="str">
        <f t="shared" si="50"/>
        <v/>
      </c>
      <c r="L95" s="117" t="str">
        <f t="shared" si="50"/>
        <v/>
      </c>
      <c r="M95" s="117" t="str">
        <f t="shared" si="50"/>
        <v/>
      </c>
      <c r="N95" s="117" t="str">
        <f t="shared" si="50"/>
        <v/>
      </c>
      <c r="O95" s="117" t="str">
        <f t="shared" si="50"/>
        <v/>
      </c>
      <c r="P95" s="117">
        <f t="shared" si="50"/>
        <v>1.880924059121207E-2</v>
      </c>
      <c r="Q95" s="117">
        <f t="shared" si="50"/>
        <v>1.6501126561092361E-2</v>
      </c>
      <c r="R95" s="117">
        <f t="shared" si="50"/>
        <v>1.8802761232715692E-2</v>
      </c>
      <c r="S95" s="117">
        <f t="shared" si="50"/>
        <v>1.8219489092507864E-2</v>
      </c>
      <c r="T95" s="117">
        <f>IF(T$93=T$4,SUMPRODUCT(T$75:T$80,$J$84:$J$89),"")</f>
        <v>1.8495632828118974E-2</v>
      </c>
      <c r="U95" s="24"/>
      <c r="W95" s="132"/>
    </row>
    <row r="96" spans="3:23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51">IF(J$93=J$4,SUMPRODUCT(J$75:J$80,$K$84:$K$89),"")</f>
        <v/>
      </c>
      <c r="K96" s="117" t="str">
        <f t="shared" si="51"/>
        <v/>
      </c>
      <c r="L96" s="117" t="str">
        <f t="shared" si="51"/>
        <v/>
      </c>
      <c r="M96" s="117" t="str">
        <f t="shared" si="51"/>
        <v/>
      </c>
      <c r="N96" s="117" t="str">
        <f t="shared" si="51"/>
        <v/>
      </c>
      <c r="O96" s="117" t="str">
        <f t="shared" si="51"/>
        <v/>
      </c>
      <c r="P96" s="117">
        <f t="shared" si="51"/>
        <v>1.7396558678267931E-2</v>
      </c>
      <c r="Q96" s="117">
        <f t="shared" si="51"/>
        <v>1.5304304438529663E-2</v>
      </c>
      <c r="R96" s="117">
        <f t="shared" si="51"/>
        <v>1.8892370569455988E-2</v>
      </c>
      <c r="S96" s="117">
        <f t="shared" si="51"/>
        <v>1.8152324099359123E-2</v>
      </c>
      <c r="T96" s="117">
        <f>IF(T$93=T$4,SUMPRODUCT(T$75:T$80,$K$84:$K$89),"")</f>
        <v>1.8325533508724852E-2</v>
      </c>
      <c r="U96" s="24"/>
      <c r="W96" s="132"/>
    </row>
    <row r="97" spans="1:50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52">IF(J$93=J$4,SUMPRODUCT(J$75:J$80,$L$84:$L$89),"")</f>
        <v/>
      </c>
      <c r="K97" s="117" t="str">
        <f t="shared" si="52"/>
        <v/>
      </c>
      <c r="L97" s="117" t="str">
        <f t="shared" si="52"/>
        <v/>
      </c>
      <c r="M97" s="117" t="str">
        <f t="shared" si="52"/>
        <v/>
      </c>
      <c r="N97" s="117" t="str">
        <f t="shared" si="52"/>
        <v/>
      </c>
      <c r="O97" s="117" t="str">
        <f t="shared" si="52"/>
        <v/>
      </c>
      <c r="P97" s="117">
        <f t="shared" si="52"/>
        <v>1.5203420622594542E-2</v>
      </c>
      <c r="Q97" s="117">
        <f t="shared" si="52"/>
        <v>1.340277260747965E-2</v>
      </c>
      <c r="R97" s="117">
        <f t="shared" si="52"/>
        <v>1.910750561611196E-2</v>
      </c>
      <c r="S97" s="117">
        <f t="shared" si="52"/>
        <v>1.8109038254166782E-2</v>
      </c>
      <c r="T97" s="117">
        <f>IF(T$93=T$4,SUMPRODUCT(T$75:T$80,$L$84:$L$89),"")</f>
        <v>1.8131580548753485E-2</v>
      </c>
      <c r="U97" s="24"/>
      <c r="W97" s="132"/>
    </row>
    <row r="98" spans="1:50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53">IF(J$93=J$4,SUMPRODUCT(J$75:J$80,$M$84:$M$89),"")</f>
        <v/>
      </c>
      <c r="K98" s="117" t="str">
        <f t="shared" si="53"/>
        <v/>
      </c>
      <c r="L98" s="117" t="str">
        <f t="shared" si="53"/>
        <v/>
      </c>
      <c r="M98" s="117" t="str">
        <f t="shared" si="53"/>
        <v/>
      </c>
      <c r="N98" s="117" t="str">
        <f t="shared" si="53"/>
        <v/>
      </c>
      <c r="O98" s="117" t="str">
        <f t="shared" si="53"/>
        <v/>
      </c>
      <c r="P98" s="117">
        <f t="shared" si="53"/>
        <v>1.6555953519530094E-2</v>
      </c>
      <c r="Q98" s="117">
        <f t="shared" si="53"/>
        <v>1.3572078947541009E-2</v>
      </c>
      <c r="R98" s="117">
        <f t="shared" si="53"/>
        <v>1.6885382702233009E-2</v>
      </c>
      <c r="S98" s="117">
        <f t="shared" si="53"/>
        <v>1.6368450869454959E-2</v>
      </c>
      <c r="T98" s="117">
        <f>IF(T$93=T$4,SUMPRODUCT(T$75:T$80,$M$84:$M$89),"")</f>
        <v>1.75165543379706E-2</v>
      </c>
      <c r="U98" s="24"/>
      <c r="W98" s="132"/>
    </row>
    <row r="99" spans="1:50"/>
    <row r="100" spans="1:50" s="103" customFormat="1" ht="12.75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4">IF(YEAR(J$4)&gt;=FPFirstYear,IF(YEAR(J$4)&lt;=FPLastYear,J$4,""),"")</f>
        <v/>
      </c>
      <c r="K102" s="163" t="str">
        <f t="shared" si="54"/>
        <v/>
      </c>
      <c r="L102" s="163" t="str">
        <f t="shared" si="54"/>
        <v/>
      </c>
      <c r="M102" s="163" t="str">
        <f t="shared" si="54"/>
        <v/>
      </c>
      <c r="N102" s="163" t="str">
        <f t="shared" si="54"/>
        <v/>
      </c>
      <c r="O102" s="163" t="str">
        <f t="shared" si="54"/>
        <v/>
      </c>
      <c r="P102" s="163">
        <f t="shared" si="54"/>
        <v>43983</v>
      </c>
      <c r="Q102" s="163">
        <f t="shared" si="54"/>
        <v>44348</v>
      </c>
      <c r="R102" s="163">
        <f t="shared" si="54"/>
        <v>44713</v>
      </c>
      <c r="S102" s="163">
        <f t="shared" si="54"/>
        <v>45078</v>
      </c>
      <c r="T102" s="163">
        <f t="shared" si="54"/>
        <v>45444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106</v>
      </c>
      <c r="E104" s="30" t="str">
        <f>percent</f>
        <v>Per cent</v>
      </c>
      <c r="F104" s="30" t="s">
        <v>36</v>
      </c>
      <c r="G104" s="32"/>
      <c r="H104" s="32"/>
      <c r="J104" s="204"/>
      <c r="K104" s="193"/>
      <c r="L104" s="193"/>
      <c r="M104" s="212"/>
      <c r="N104" s="212"/>
      <c r="O104" s="212"/>
      <c r="P104" s="212">
        <v>0</v>
      </c>
      <c r="Q104" s="212">
        <v>0</v>
      </c>
      <c r="R104" s="212">
        <v>0</v>
      </c>
      <c r="S104" s="212">
        <v>0</v>
      </c>
      <c r="T104" s="212">
        <v>0</v>
      </c>
    </row>
    <row r="105" spans="1:50" outlineLevel="1">
      <c r="C105" s="111"/>
      <c r="G105" s="32"/>
      <c r="H105" s="32"/>
      <c r="J105" s="168"/>
      <c r="K105" s="23"/>
      <c r="L105" s="23"/>
      <c r="M105" s="23"/>
      <c r="N105" s="23"/>
      <c r="O105" s="23"/>
      <c r="P105" s="191"/>
      <c r="Q105" s="191"/>
      <c r="R105" s="191"/>
      <c r="S105" s="191"/>
      <c r="T105" s="191"/>
    </row>
    <row r="106" spans="1:50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55">IF(J102=J$4,IF(ISBLANK(J104),"Check","Ok"),"")</f>
        <v/>
      </c>
      <c r="K106" s="132" t="str">
        <f t="shared" si="55"/>
        <v/>
      </c>
      <c r="L106" s="132" t="str">
        <f t="shared" si="55"/>
        <v/>
      </c>
      <c r="M106" s="132" t="str">
        <f t="shared" si="55"/>
        <v/>
      </c>
      <c r="N106" s="132" t="str">
        <f t="shared" si="55"/>
        <v/>
      </c>
      <c r="O106" s="132" t="str">
        <f t="shared" si="55"/>
        <v/>
      </c>
      <c r="P106" s="132" t="str">
        <f t="shared" si="55"/>
        <v>Ok</v>
      </c>
      <c r="Q106" s="132" t="str">
        <f t="shared" si="55"/>
        <v>Ok</v>
      </c>
      <c r="R106" s="132" t="str">
        <f t="shared" si="55"/>
        <v>Ok</v>
      </c>
      <c r="S106" s="132" t="str">
        <f t="shared" si="55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mergeCells count="2">
    <mergeCell ref="K3:M3"/>
    <mergeCell ref="O3:T3"/>
  </mergeCells>
  <conditionalFormatting sqref="W1">
    <cfRule type="cellIs" dxfId="165" priority="120" operator="equal">
      <formula>"Check"</formula>
    </cfRule>
    <cfRule type="cellIs" dxfId="164" priority="121" operator="equal">
      <formula>"Ok"</formula>
    </cfRule>
  </conditionalFormatting>
  <conditionalFormatting sqref="T1">
    <cfRule type="cellIs" dxfId="163" priority="84" operator="equal">
      <formula>"Check"</formula>
    </cfRule>
    <cfRule type="cellIs" dxfId="162" priority="85" operator="equal">
      <formula>"Ok"</formula>
    </cfRule>
  </conditionalFormatting>
  <conditionalFormatting sqref="W58">
    <cfRule type="cellIs" dxfId="161" priority="72" operator="equal">
      <formula>"Check"</formula>
    </cfRule>
    <cfRule type="cellIs" dxfId="160" priority="73" operator="equal">
      <formula>"Ok"</formula>
    </cfRule>
  </conditionalFormatting>
  <conditionalFormatting sqref="J58:T58">
    <cfRule type="cellIs" dxfId="159" priority="64" operator="equal">
      <formula>"Check"</formula>
    </cfRule>
    <cfRule type="cellIs" dxfId="158" priority="65" operator="equal">
      <formula>"Ok"</formula>
    </cfRule>
  </conditionalFormatting>
  <conditionalFormatting sqref="J34:T34">
    <cfRule type="expression" dxfId="157" priority="55">
      <formula>J$34=J$4</formula>
    </cfRule>
  </conditionalFormatting>
  <conditionalFormatting sqref="J40:T43 J36:O39">
    <cfRule type="expression" dxfId="156" priority="53">
      <formula>J$34=J$4</formula>
    </cfRule>
  </conditionalFormatting>
  <conditionalFormatting sqref="J104:L104 R104:T104">
    <cfRule type="expression" dxfId="155" priority="48">
      <formula>J$102=J$4</formula>
    </cfRule>
  </conditionalFormatting>
  <conditionalFormatting sqref="W106">
    <cfRule type="cellIs" dxfId="154" priority="46" operator="equal">
      <formula>"Check"</formula>
    </cfRule>
    <cfRule type="cellIs" dxfId="153" priority="47" operator="equal">
      <formula>"Ok"</formula>
    </cfRule>
  </conditionalFormatting>
  <conditionalFormatting sqref="J106:T106">
    <cfRule type="cellIs" dxfId="152" priority="44" operator="equal">
      <formula>"Check"</formula>
    </cfRule>
    <cfRule type="cellIs" dxfId="151" priority="45" operator="equal">
      <formula>"Ok"</formula>
    </cfRule>
  </conditionalFormatting>
  <conditionalFormatting sqref="W45">
    <cfRule type="cellIs" dxfId="150" priority="42" operator="equal">
      <formula>"Check"</formula>
    </cfRule>
    <cfRule type="cellIs" dxfId="149" priority="43" operator="equal">
      <formula>"Ok"</formula>
    </cfRule>
  </conditionalFormatting>
  <conditionalFormatting sqref="J45:T45">
    <cfRule type="cellIs" dxfId="148" priority="40" operator="equal">
      <formula>"Check"</formula>
    </cfRule>
    <cfRule type="cellIs" dxfId="147" priority="41" operator="equal">
      <formula>"Ok"</formula>
    </cfRule>
  </conditionalFormatting>
  <conditionalFormatting sqref="W71">
    <cfRule type="cellIs" dxfId="146" priority="38" operator="equal">
      <formula>"Check"</formula>
    </cfRule>
    <cfRule type="cellIs" dxfId="145" priority="39" operator="equal">
      <formula>"Ok"</formula>
    </cfRule>
  </conditionalFormatting>
  <conditionalFormatting sqref="J71:T71">
    <cfRule type="cellIs" dxfId="144" priority="36" operator="equal">
      <formula>"Check"</formula>
    </cfRule>
    <cfRule type="cellIs" dxfId="143" priority="37" operator="equal">
      <formula>"Ok"</formula>
    </cfRule>
  </conditionalFormatting>
  <conditionalFormatting sqref="J62:T62">
    <cfRule type="expression" dxfId="142" priority="30">
      <formula>J$62=J$4</formula>
    </cfRule>
  </conditionalFormatting>
  <conditionalFormatting sqref="J67:T69 J64:K66">
    <cfRule type="expression" dxfId="141" priority="28">
      <formula>J$62=J$4</formula>
    </cfRule>
  </conditionalFormatting>
  <conditionalFormatting sqref="J47:T47">
    <cfRule type="expression" dxfId="140" priority="25">
      <formula>J$34=J$4</formula>
    </cfRule>
  </conditionalFormatting>
  <conditionalFormatting sqref="J73:T73">
    <cfRule type="expression" dxfId="139" priority="24">
      <formula>J$34=J$4</formula>
    </cfRule>
  </conditionalFormatting>
  <conditionalFormatting sqref="J102:T102">
    <cfRule type="expression" dxfId="138" priority="23">
      <formula>J$34=J$4</formula>
    </cfRule>
  </conditionalFormatting>
  <conditionalFormatting sqref="J25:T30">
    <cfRule type="cellIs" dxfId="137" priority="21" operator="equal">
      <formula>0</formula>
    </cfRule>
  </conditionalFormatting>
  <conditionalFormatting sqref="J16:T21">
    <cfRule type="cellIs" dxfId="136" priority="20" operator="equal">
      <formula>0</formula>
    </cfRule>
  </conditionalFormatting>
  <conditionalFormatting sqref="M36:O38">
    <cfRule type="expression" dxfId="135" priority="17">
      <formula>M$34=M$4</formula>
    </cfRule>
  </conditionalFormatting>
  <conditionalFormatting sqref="M43:Q43">
    <cfRule type="expression" dxfId="134" priority="16">
      <formula>M$34=M$4</formula>
    </cfRule>
  </conditionalFormatting>
  <conditionalFormatting sqref="J49:T56">
    <cfRule type="expression" dxfId="133" priority="15">
      <formula>J$47=J$4</formula>
    </cfRule>
  </conditionalFormatting>
  <conditionalFormatting sqref="L64:N66">
    <cfRule type="expression" dxfId="132" priority="14">
      <formula>L$62=L$4</formula>
    </cfRule>
  </conditionalFormatting>
  <conditionalFormatting sqref="M104:T104">
    <cfRule type="expression" dxfId="131" priority="13">
      <formula>M$102=M$4</formula>
    </cfRule>
  </conditionalFormatting>
  <conditionalFormatting sqref="W91">
    <cfRule type="cellIs" dxfId="130" priority="11" operator="equal">
      <formula>"Check"</formula>
    </cfRule>
    <cfRule type="cellIs" dxfId="129" priority="12" operator="equal">
      <formula>"Ok"</formula>
    </cfRule>
  </conditionalFormatting>
  <conditionalFormatting sqref="K84:M89">
    <cfRule type="expression" dxfId="128" priority="10">
      <formula>K$82=K$4</formula>
    </cfRule>
  </conditionalFormatting>
  <conditionalFormatting sqref="J91:T91">
    <cfRule type="cellIs" dxfId="127" priority="8" operator="equal">
      <formula>"Check"</formula>
    </cfRule>
    <cfRule type="cellIs" dxfId="126" priority="9" operator="equal">
      <formula>"Ok"</formula>
    </cfRule>
  </conditionalFormatting>
  <conditionalFormatting sqref="W92:W98">
    <cfRule type="cellIs" dxfId="125" priority="6" operator="equal">
      <formula>"Check"</formula>
    </cfRule>
    <cfRule type="cellIs" dxfId="124" priority="7" operator="equal">
      <formula>"Ok"</formula>
    </cfRule>
  </conditionalFormatting>
  <conditionalFormatting sqref="J92:T92 J94:T94">
    <cfRule type="cellIs" dxfId="123" priority="4" operator="equal">
      <formula>"Check"</formula>
    </cfRule>
    <cfRule type="cellIs" dxfId="122" priority="5" operator="equal">
      <formula>"Ok"</formula>
    </cfRule>
  </conditionalFormatting>
  <conditionalFormatting sqref="J93:T93">
    <cfRule type="expression" dxfId="121" priority="3">
      <formula>J$93=J$4</formula>
    </cfRule>
  </conditionalFormatting>
  <conditionalFormatting sqref="P36:T36">
    <cfRule type="expression" dxfId="120" priority="2">
      <formula>P$34=P$4</formula>
    </cfRule>
  </conditionalFormatting>
  <conditionalFormatting sqref="P39:T39">
    <cfRule type="expression" dxfId="119" priority="1">
      <formula>P$34=P$4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F12" sqref="F12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6" t="s">
        <v>24</v>
      </c>
      <c r="V1" s="76" t="str">
        <f>'Check|List'!$S$1</f>
        <v>Check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58" t="s">
        <v>131</v>
      </c>
      <c r="K3" s="171"/>
      <c r="L3" s="171"/>
      <c r="M3" s="181"/>
      <c r="N3" s="221"/>
      <c r="O3" s="221"/>
      <c r="P3" s="221"/>
      <c r="Q3" s="221"/>
      <c r="R3" s="221"/>
      <c r="S3" s="221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61"/>
      <c r="D12" s="30" t="s">
        <v>73</v>
      </c>
      <c r="E12" s="150" t="s">
        <v>15</v>
      </c>
      <c r="F12" s="170">
        <v>43617</v>
      </c>
      <c r="G12" s="32"/>
      <c r="H12" s="32"/>
      <c r="J12" s="152"/>
      <c r="K12" s="152"/>
      <c r="L12" s="213"/>
      <c r="M12" s="213"/>
      <c r="N12" s="213"/>
      <c r="O12" s="213"/>
      <c r="P12" s="213"/>
      <c r="Q12" s="169"/>
      <c r="R12" s="169"/>
      <c r="S12" s="169"/>
    </row>
    <row r="13" spans="1:47" outlineLevel="1">
      <c r="C13" s="61"/>
      <c r="D13" s="30" t="s">
        <v>73</v>
      </c>
      <c r="E13" s="150" t="s">
        <v>15</v>
      </c>
      <c r="F13" s="170">
        <v>43617</v>
      </c>
      <c r="G13" s="32"/>
      <c r="H13" s="32"/>
      <c r="J13" s="152"/>
      <c r="K13" s="152"/>
      <c r="L13" s="213"/>
      <c r="M13" s="213"/>
      <c r="N13" s="213"/>
      <c r="O13" s="213"/>
      <c r="P13" s="213"/>
      <c r="Q13" s="169"/>
      <c r="R13" s="169"/>
      <c r="S13" s="169"/>
    </row>
    <row r="14" spans="1:47" outlineLevel="1">
      <c r="C14" s="61"/>
      <c r="D14" s="30" t="s">
        <v>73</v>
      </c>
      <c r="E14" s="150" t="s">
        <v>15</v>
      </c>
      <c r="F14" s="170">
        <v>43617</v>
      </c>
      <c r="G14" s="32"/>
      <c r="H14" s="32"/>
      <c r="J14" s="152"/>
      <c r="K14" s="152"/>
      <c r="L14" s="213"/>
      <c r="M14" s="213"/>
      <c r="N14" s="213"/>
      <c r="O14" s="213"/>
      <c r="P14" s="213"/>
      <c r="Q14" s="169"/>
      <c r="R14" s="169"/>
      <c r="S14" s="169"/>
    </row>
    <row r="15" spans="1:47" outlineLevel="1">
      <c r="C15" s="61"/>
      <c r="D15" s="30" t="s">
        <v>73</v>
      </c>
      <c r="E15" s="150" t="s">
        <v>15</v>
      </c>
      <c r="F15" s="170">
        <v>43617</v>
      </c>
      <c r="G15" s="32"/>
      <c r="H15" s="32"/>
      <c r="J15" s="152"/>
      <c r="K15" s="152"/>
      <c r="L15" s="213"/>
      <c r="M15" s="213"/>
      <c r="N15" s="213"/>
      <c r="O15" s="213"/>
      <c r="P15" s="213"/>
      <c r="Q15" s="169"/>
      <c r="R15" s="169"/>
      <c r="S15" s="169"/>
    </row>
    <row r="16" spans="1:47" outlineLevel="1">
      <c r="C16" s="61"/>
      <c r="D16" s="30" t="s">
        <v>73</v>
      </c>
      <c r="E16" s="150" t="s">
        <v>15</v>
      </c>
      <c r="F16" s="170">
        <v>43617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</row>
    <row r="17" spans="1:47" outlineLevel="1">
      <c r="C17" s="61"/>
      <c r="D17" s="30" t="s">
        <v>73</v>
      </c>
      <c r="E17" s="150" t="s">
        <v>15</v>
      </c>
      <c r="F17" s="170">
        <v>43617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</row>
    <row r="18" spans="1:47" outlineLevel="1">
      <c r="C18" s="61"/>
      <c r="D18" s="30" t="s">
        <v>73</v>
      </c>
      <c r="E18" s="150" t="s">
        <v>15</v>
      </c>
      <c r="F18" s="170">
        <v>43617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</row>
    <row r="19" spans="1:47" outlineLevel="1">
      <c r="C19" s="61"/>
      <c r="D19" s="30" t="s">
        <v>73</v>
      </c>
      <c r="E19" s="150" t="s">
        <v>15</v>
      </c>
      <c r="F19" s="170">
        <v>43617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</row>
    <row r="20" spans="1:47" outlineLevel="1">
      <c r="C20" s="61"/>
      <c r="D20" s="30" t="s">
        <v>73</v>
      </c>
      <c r="E20" s="150" t="s">
        <v>15</v>
      </c>
      <c r="F20" s="170">
        <v>43617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117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73</v>
      </c>
      <c r="E28" s="150" t="s">
        <v>15</v>
      </c>
      <c r="F28" s="170">
        <v>43617</v>
      </c>
      <c r="G28" s="32"/>
      <c r="H28" s="32"/>
      <c r="J28" s="152"/>
      <c r="K28" s="152"/>
      <c r="L28" s="213"/>
      <c r="M28" s="213"/>
      <c r="N28" s="213"/>
      <c r="O28" s="213"/>
      <c r="P28" s="213"/>
      <c r="Q28" s="169"/>
      <c r="R28" s="169"/>
      <c r="S28" s="169"/>
    </row>
    <row r="29" spans="1:47" outlineLevel="1">
      <c r="C29" s="61"/>
      <c r="D29" s="30" t="s">
        <v>73</v>
      </c>
      <c r="E29" s="150" t="s">
        <v>15</v>
      </c>
      <c r="F29" s="170">
        <v>43617</v>
      </c>
      <c r="G29" s="32"/>
      <c r="H29" s="32"/>
      <c r="J29" s="152"/>
      <c r="K29" s="152"/>
      <c r="L29" s="213"/>
      <c r="M29" s="213"/>
      <c r="N29" s="213"/>
      <c r="O29" s="213"/>
      <c r="P29" s="213"/>
      <c r="Q29" s="169"/>
      <c r="R29" s="169"/>
      <c r="S29" s="169"/>
    </row>
    <row r="30" spans="1:47" outlineLevel="1">
      <c r="C30" s="61"/>
      <c r="D30" s="30" t="s">
        <v>73</v>
      </c>
      <c r="E30" s="150" t="s">
        <v>15</v>
      </c>
      <c r="F30" s="170">
        <v>43617</v>
      </c>
      <c r="G30" s="32"/>
      <c r="H30" s="32"/>
      <c r="J30" s="152"/>
      <c r="K30" s="152"/>
      <c r="L30" s="213"/>
      <c r="M30" s="213"/>
      <c r="N30" s="213"/>
      <c r="O30" s="213"/>
      <c r="P30" s="213"/>
      <c r="Q30" s="169"/>
      <c r="R30" s="169"/>
      <c r="S30" s="169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09">
        <f>DATE(PPLastYear,MONTH('Input|General'!$G$9),1)</f>
        <v>43617</v>
      </c>
      <c r="G38" s="32"/>
      <c r="H38" s="32"/>
      <c r="J38" s="169"/>
      <c r="K38" s="169"/>
      <c r="L38" s="169"/>
      <c r="M38" s="169"/>
      <c r="N38" s="169"/>
      <c r="O38" s="169">
        <v>3.2312931686550224</v>
      </c>
      <c r="P38" s="169">
        <v>3.2877128320699169</v>
      </c>
      <c r="Q38" s="169">
        <v>3.3226092617877341</v>
      </c>
      <c r="R38" s="169">
        <v>3.3510852492463363</v>
      </c>
      <c r="S38" s="169">
        <v>3.3817146670933225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8" priority="32" operator="equal">
      <formula>"Check"</formula>
    </cfRule>
    <cfRule type="cellIs" dxfId="117" priority="33" operator="equal">
      <formula>"Ok"</formula>
    </cfRule>
  </conditionalFormatting>
  <conditionalFormatting sqref="V1">
    <cfRule type="cellIs" dxfId="116" priority="34" operator="equal">
      <formula>"Check"</formula>
    </cfRule>
    <cfRule type="cellIs" dxfId="115" priority="35" operator="equal">
      <formula>"Ok"</formula>
    </cfRule>
  </conditionalFormatting>
  <conditionalFormatting sqref="J10:S10">
    <cfRule type="expression" dxfId="114" priority="30">
      <formula>J$10=J$4</formula>
    </cfRule>
  </conditionalFormatting>
  <conditionalFormatting sqref="J16:S20 J12:K15 Q12:S15">
    <cfRule type="expression" dxfId="113" priority="29">
      <formula>J$10=J$4</formula>
    </cfRule>
  </conditionalFormatting>
  <conditionalFormatting sqref="W22">
    <cfRule type="cellIs" dxfId="112" priority="25" operator="equal">
      <formula>"Check"</formula>
    </cfRule>
    <cfRule type="cellIs" dxfId="111" priority="26" operator="equal">
      <formula>"Ok"</formula>
    </cfRule>
  </conditionalFormatting>
  <conditionalFormatting sqref="J22:T22">
    <cfRule type="cellIs" dxfId="110" priority="23" operator="equal">
      <formula>"Check"</formula>
    </cfRule>
    <cfRule type="cellIs" dxfId="109" priority="24" operator="equal">
      <formula>"Ok"</formula>
    </cfRule>
  </conditionalFormatting>
  <conditionalFormatting sqref="W32">
    <cfRule type="cellIs" dxfId="108" priority="21" operator="equal">
      <formula>"Check"</formula>
    </cfRule>
    <cfRule type="cellIs" dxfId="107" priority="22" operator="equal">
      <formula>"Ok"</formula>
    </cfRule>
  </conditionalFormatting>
  <conditionalFormatting sqref="J32:T3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8:K30 Q29:S30">
    <cfRule type="expression" dxfId="104" priority="18">
      <formula>J$26=J$4</formula>
    </cfRule>
  </conditionalFormatting>
  <conditionalFormatting sqref="W40">
    <cfRule type="cellIs" dxfId="103" priority="16" operator="equal">
      <formula>"Check"</formula>
    </cfRule>
    <cfRule type="cellIs" dxfId="102" priority="17" operator="equal">
      <formula>"Ok"</formula>
    </cfRule>
  </conditionalFormatting>
  <conditionalFormatting sqref="J40:T40">
    <cfRule type="cellIs" dxfId="101" priority="14" operator="equal">
      <formula>"Check"</formula>
    </cfRule>
    <cfRule type="cellIs" dxfId="100" priority="15" operator="equal">
      <formula>"Ok"</formula>
    </cfRule>
  </conditionalFormatting>
  <conditionalFormatting sqref="Q28:S28">
    <cfRule type="expression" dxfId="99" priority="13">
      <formula>Q$10=Q$4</formula>
    </cfRule>
  </conditionalFormatting>
  <conditionalFormatting sqref="J38:K38">
    <cfRule type="expression" dxfId="98" priority="9">
      <formula>J$36=J$4</formula>
    </cfRule>
  </conditionalFormatting>
  <conditionalFormatting sqref="J26:S26">
    <cfRule type="expression" dxfId="97" priority="8">
      <formula>J$10=J$4</formula>
    </cfRule>
  </conditionalFormatting>
  <conditionalFormatting sqref="J36:S36">
    <cfRule type="expression" dxfId="96" priority="7">
      <formula>J$10=J$4</formula>
    </cfRule>
  </conditionalFormatting>
  <conditionalFormatting sqref="L12:P15">
    <cfRule type="expression" dxfId="95" priority="6">
      <formula>L$10=L$4</formula>
    </cfRule>
  </conditionalFormatting>
  <conditionalFormatting sqref="L28:P30">
    <cfRule type="expression" dxfId="94" priority="5">
      <formula>L$26=L$4</formula>
    </cfRule>
  </conditionalFormatting>
  <conditionalFormatting sqref="L38:N38">
    <cfRule type="expression" dxfId="93" priority="2">
      <formula>L$36=L$4</formula>
    </cfRule>
  </conditionalFormatting>
  <conditionalFormatting sqref="O38:S38">
    <cfRule type="expression" dxfId="92" priority="1">
      <formula>O$36=O$4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A4" workbookViewId="0">
      <selection activeCell="N35" sqref="N35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6" t="s">
        <v>24</v>
      </c>
      <c r="V1" s="76" t="str">
        <f>'Check|List'!$S$1</f>
        <v>Check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71" t="s">
        <v>131</v>
      </c>
      <c r="K3" s="171"/>
      <c r="L3" s="171"/>
      <c r="M3" s="181"/>
      <c r="N3" s="221"/>
      <c r="O3" s="221"/>
      <c r="P3" s="221"/>
      <c r="Q3" s="221"/>
      <c r="R3" s="221"/>
      <c r="S3" s="221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175</v>
      </c>
      <c r="D12" s="108" t="s">
        <v>96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258.81192362257048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175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266.71648787768305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176</v>
      </c>
      <c r="D14" s="108" t="s">
        <v>96</v>
      </c>
      <c r="E14" s="30" t="str">
        <f>'Input|Reported opex'!E15</f>
        <v>$millions</v>
      </c>
      <c r="F14" s="161">
        <f>'Input|Reported opex'!F15</f>
        <v>41791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250.59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176</v>
      </c>
      <c r="D15" s="110" t="s">
        <v>30</v>
      </c>
      <c r="E15" s="30" t="str">
        <f>$E$8</f>
        <v>$millions</v>
      </c>
      <c r="F15" s="161">
        <f>$F$8</f>
        <v>43617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272.73846458923509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177</v>
      </c>
      <c r="D16" s="108" t="s">
        <v>96</v>
      </c>
      <c r="E16" s="30" t="str">
        <f>'Input|Reported opex'!E15</f>
        <v>$millions</v>
      </c>
      <c r="F16" s="161">
        <f>'Input|Reported opex'!F15</f>
        <v>41791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255.38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177</v>
      </c>
      <c r="D17" s="110" t="s">
        <v>30</v>
      </c>
      <c r="E17" s="30" t="str">
        <f>$E$8</f>
        <v>$millions</v>
      </c>
      <c r="F17" s="161">
        <f>$F$8</f>
        <v>43617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277.95183002832857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178</v>
      </c>
      <c r="D19" s="108" t="s">
        <v>96</v>
      </c>
      <c r="E19" s="30" t="str">
        <f>'Input|Reported opex'!E60</f>
        <v>$millions</v>
      </c>
      <c r="F19" s="161" t="str">
        <f>'Input|Reported opex'!F53</f>
        <v>nominal</v>
      </c>
      <c r="J19" s="109">
        <f>IF(YEAR(J$4)=BaseYear,'Input|Reported opex'!J53,0)</f>
        <v>0</v>
      </c>
      <c r="K19" s="109">
        <f>IF(YEAR(K$4)=BaseYear,'Input|Reported opex'!K53,0)</f>
        <v>0</v>
      </c>
      <c r="L19" s="109">
        <f>IF(YEAR(L$4)=BaseYear,'Input|Reported opex'!L53,0)</f>
        <v>0</v>
      </c>
      <c r="M19" s="109">
        <f>IF(YEAR(M$4)=BaseYear,'Input|Reported opex'!M53,0)</f>
        <v>0</v>
      </c>
      <c r="N19" s="109">
        <f>IF(YEAR(N$4)=BaseYear,'Input|Reported opex'!N53,0)</f>
        <v>0</v>
      </c>
      <c r="O19" s="109">
        <f>IF(YEAR(O$4)=BaseYear,'Input|Reported opex'!O53,0)</f>
        <v>0</v>
      </c>
      <c r="P19" s="109">
        <f>IF(YEAR(P$4)=BaseYear,'Input|Reported opex'!P53,0)</f>
        <v>0</v>
      </c>
      <c r="Q19" s="109">
        <f>IF(YEAR(Q$4)=BaseYear,'Input|Reported opex'!Q53,0)</f>
        <v>0</v>
      </c>
      <c r="R19" s="109">
        <f>IF(YEAR(R$4)=BaseYear,'Input|Reported opex'!R53,0)</f>
        <v>0</v>
      </c>
      <c r="S19" s="109">
        <f>IF(YEAR(S$4)=BaseYear,'Input|Reported opex'!S53,0)</f>
        <v>0</v>
      </c>
    </row>
    <row r="20" spans="3:19" outlineLevel="1">
      <c r="C20" s="106" t="s">
        <v>178</v>
      </c>
      <c r="D20" s="110" t="s">
        <v>30</v>
      </c>
      <c r="E20" s="30" t="str">
        <f>$E$8</f>
        <v>$millions</v>
      </c>
      <c r="F20" s="161">
        <f>$F$8</f>
        <v>43617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179</v>
      </c>
      <c r="D21" s="108" t="s">
        <v>96</v>
      </c>
      <c r="E21" s="30" t="str">
        <f>'Input|Reported opex'!E22</f>
        <v>$millions</v>
      </c>
      <c r="F21" s="161">
        <f>'Input|Reported opex'!F29</f>
        <v>41791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-3.1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179</v>
      </c>
      <c r="D22" s="110" t="s">
        <v>30</v>
      </c>
      <c r="E22" s="30" t="str">
        <f>$E$8</f>
        <v>$millions</v>
      </c>
      <c r="F22" s="161">
        <f>$F$8</f>
        <v>43617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-3.3739943342776204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180</v>
      </c>
      <c r="D23" s="108" t="s">
        <v>96</v>
      </c>
      <c r="E23" s="30" t="str">
        <f>'Input|Reported opex'!E22</f>
        <v>$millions</v>
      </c>
      <c r="F23" s="161">
        <f>'Input|Reported opex'!F29</f>
        <v>41791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-3.13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180</v>
      </c>
      <c r="D24" s="110" t="s">
        <v>30</v>
      </c>
      <c r="E24" s="30" t="str">
        <f>$E$8</f>
        <v>$millions</v>
      </c>
      <c r="F24" s="161">
        <f>$F$8</f>
        <v>43617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-3.4066458923512744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2"/>
      <c r="K25" s="172"/>
      <c r="L25" s="172"/>
      <c r="M25" s="172"/>
      <c r="N25" s="172"/>
      <c r="O25" s="172"/>
      <c r="P25" s="172"/>
      <c r="Q25" s="172"/>
      <c r="R25" s="172"/>
      <c r="S25" s="172"/>
    </row>
    <row r="26" spans="3:19" outlineLevel="1">
      <c r="C26" s="113" t="s">
        <v>149</v>
      </c>
      <c r="D26" s="114" t="s">
        <v>30</v>
      </c>
      <c r="E26" s="114" t="str">
        <f>$E$8</f>
        <v>$millions</v>
      </c>
      <c r="F26" s="161">
        <f>$F$8</f>
        <v>43617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266.71648787768305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172</v>
      </c>
      <c r="D28" s="108" t="s">
        <v>96</v>
      </c>
      <c r="E28" s="110" t="str">
        <f>'Input|Reported opex'!E65</f>
        <v>$millions</v>
      </c>
      <c r="F28" s="161">
        <f>'Input|Reported opex'!F65</f>
        <v>43617</v>
      </c>
      <c r="J28" s="115">
        <f>IF('Input|Reported opex'!J$57='Input|Reported opex'!J$10,'Input|Reported opex'!J65,0)</f>
        <v>0</v>
      </c>
      <c r="K28" s="115">
        <f>IF('Input|Reported opex'!K$57='Input|Reported opex'!K$10,'Input|Reported opex'!K65,0)</f>
        <v>0</v>
      </c>
      <c r="L28" s="115">
        <f>IF('Input|Reported opex'!L$57='Input|Reported opex'!L$10,'Input|Reported opex'!L65,0)</f>
        <v>0</v>
      </c>
      <c r="M28" s="115">
        <f>IF('Input|Reported opex'!M$57='Input|Reported opex'!M$10,'Input|Reported opex'!M65,0)</f>
        <v>0</v>
      </c>
      <c r="N28" s="115">
        <f>IF('Input|Reported opex'!N$57='Input|Reported opex'!N$10,'Input|Reported opex'!N65,0)</f>
        <v>0</v>
      </c>
      <c r="O28" s="115">
        <f>IF('Input|Reported opex'!O$57='Input|Reported opex'!O$10,'Input|Reported opex'!O65,0)</f>
        <v>0</v>
      </c>
      <c r="P28" s="115">
        <f>IF('Input|Reported opex'!P$57='Input|Reported opex'!P$10,'Input|Reported opex'!P65,0)</f>
        <v>0</v>
      </c>
      <c r="Q28" s="115">
        <f>IF('Input|Reported opex'!Q$57='Input|Reported opex'!Q$10,'Input|Reported opex'!Q65,0)</f>
        <v>0</v>
      </c>
      <c r="R28" s="115">
        <f>IF('Input|Reported opex'!R$57='Input|Reported opex'!R$10,'Input|Reported opex'!R65,0)</f>
        <v>0</v>
      </c>
      <c r="S28" s="115">
        <f>IF('Input|Reported opex'!S$57='Input|Reported opex'!S$10,'Input|Reported opex'!S65,0)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169</v>
      </c>
      <c r="D31" s="110" t="s">
        <v>30</v>
      </c>
      <c r="E31" s="110" t="str">
        <f>$E$8</f>
        <v>$millions</v>
      </c>
      <c r="F31" s="161">
        <f>$F$8</f>
        <v>43617</v>
      </c>
      <c r="G31" s="110"/>
      <c r="H31" s="110"/>
      <c r="I31" s="110"/>
      <c r="J31" s="176">
        <f t="shared" ref="J31:S31" si="2">IF(YEAR(J$4)=PPLastYear,-SUM($J15:$S15)+SUM($J17:$S17),0)</f>
        <v>0</v>
      </c>
      <c r="K31" s="176">
        <f t="shared" si="2"/>
        <v>0</v>
      </c>
      <c r="L31" s="176">
        <f t="shared" si="2"/>
        <v>0</v>
      </c>
      <c r="M31" s="176">
        <f t="shared" si="2"/>
        <v>0</v>
      </c>
      <c r="N31" s="176">
        <f t="shared" si="2"/>
        <v>5.2133654390934794</v>
      </c>
      <c r="O31" s="176">
        <f t="shared" si="2"/>
        <v>0</v>
      </c>
      <c r="P31" s="176">
        <f t="shared" si="2"/>
        <v>0</v>
      </c>
      <c r="Q31" s="176">
        <f t="shared" si="2"/>
        <v>0</v>
      </c>
      <c r="R31" s="176">
        <f t="shared" si="2"/>
        <v>0</v>
      </c>
      <c r="S31" s="176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6"/>
      <c r="K32" s="176"/>
      <c r="L32" s="176"/>
      <c r="M32" s="176"/>
      <c r="N32" s="176"/>
      <c r="O32" s="176"/>
      <c r="P32" s="176"/>
      <c r="Q32" s="176"/>
      <c r="R32" s="176"/>
      <c r="S32" s="176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43617</v>
      </c>
      <c r="J33" s="176">
        <f t="shared" ref="J33:S33" si="3">IF(YEAR(J$4)=PPLastYear,SUM($J26:$S26,$J29:$S29,$J31:$S31),0)</f>
        <v>0</v>
      </c>
      <c r="K33" s="176">
        <f t="shared" si="3"/>
        <v>0</v>
      </c>
      <c r="L33" s="176">
        <f t="shared" si="3"/>
        <v>0</v>
      </c>
      <c r="M33" s="176">
        <f t="shared" si="3"/>
        <v>0</v>
      </c>
      <c r="N33" s="176">
        <f t="shared" si="3"/>
        <v>271.92985331677653</v>
      </c>
      <c r="O33" s="176">
        <f t="shared" si="3"/>
        <v>0</v>
      </c>
      <c r="P33" s="176">
        <f t="shared" si="3"/>
        <v>0</v>
      </c>
      <c r="Q33" s="176">
        <f t="shared" si="3"/>
        <v>0</v>
      </c>
      <c r="R33" s="176">
        <f t="shared" si="3"/>
        <v>0</v>
      </c>
      <c r="S33" s="176">
        <f t="shared" si="3"/>
        <v>0</v>
      </c>
    </row>
    <row r="34" spans="3:19" outlineLevel="1">
      <c r="C34" s="123"/>
      <c r="D34" s="110"/>
      <c r="E34" s="110"/>
      <c r="F34" s="161"/>
      <c r="J34" s="176"/>
      <c r="K34" s="176"/>
      <c r="L34" s="176"/>
      <c r="M34" s="176"/>
      <c r="N34" s="176"/>
      <c r="O34" s="176"/>
      <c r="P34" s="176"/>
      <c r="Q34" s="176"/>
      <c r="R34" s="176"/>
      <c r="S34" s="176"/>
    </row>
    <row r="35" spans="3:19" outlineLevel="1">
      <c r="C35" s="123" t="s">
        <v>181</v>
      </c>
      <c r="D35" s="110" t="s">
        <v>30</v>
      </c>
      <c r="E35" s="110" t="str">
        <f>$E$8</f>
        <v>$millions</v>
      </c>
      <c r="F35" s="161">
        <f>$F$8</f>
        <v>43617</v>
      </c>
      <c r="J35" s="115">
        <f t="shared" ref="J35:S35" si="4">IF(YEAR(J$4)=PPLastYear,SUM($J20:$S20)-SUM($J22:$S22)+SUM($J24:$S24),0)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-3.2651558073653941E-2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opex'!$C$59</f>
        <v>Adjustment 1</v>
      </c>
      <c r="D37" s="108" t="s">
        <v>96</v>
      </c>
      <c r="E37" s="110" t="str">
        <f>'Input|Reported opex'!E59</f>
        <v>$millions</v>
      </c>
      <c r="F37" s="161">
        <f>'Input|Reported opex'!F59</f>
        <v>43617</v>
      </c>
      <c r="J37" s="109">
        <f>IF(YEAR(J$4)=PPLastYear,'Input|Reported opex'!J59,0)</f>
        <v>0</v>
      </c>
      <c r="K37" s="109">
        <f>IF(YEAR(K$4)=PPLastYear,'Input|Reported opex'!K59,0)</f>
        <v>0</v>
      </c>
      <c r="L37" s="109">
        <f>IF(YEAR(L$4)=PPLastYear,'Input|Reported opex'!L59,0)</f>
        <v>0</v>
      </c>
      <c r="M37" s="109">
        <f>IF(YEAR(M$4)=PPLastYear,'Input|Reported opex'!M59,0)</f>
        <v>0</v>
      </c>
      <c r="N37" s="109">
        <f>IF(YEAR(N$4)=PPLastYear,'Input|Reported opex'!N59,0)</f>
        <v>0</v>
      </c>
      <c r="O37" s="109">
        <f>IF(YEAR(O$4)=PPLastYear,'Input|Reported opex'!O59,0)</f>
        <v>0</v>
      </c>
      <c r="P37" s="109">
        <f>IF(YEAR(P$4)=PPLastYear,'Input|Reported opex'!P59,0)</f>
        <v>0</v>
      </c>
      <c r="Q37" s="109">
        <f>IF(YEAR(Q$4)=PPLastYear,'Input|Reported opex'!Q59,0)</f>
        <v>0</v>
      </c>
      <c r="R37" s="109">
        <f>IF(YEAR(R$4)=PPLastYear,'Input|Reported opex'!R59,0)</f>
        <v>0</v>
      </c>
      <c r="S37" s="109">
        <f>IF(YEAR(S$4)=PPLastYear,'Input|Reported opex'!S59,0)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43617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opex'!$C$60</f>
        <v>Adjustment 2</v>
      </c>
      <c r="D40" s="108" t="s">
        <v>96</v>
      </c>
      <c r="E40" s="30" t="str">
        <f>'Input|Reported opex'!$E$60</f>
        <v>$millions</v>
      </c>
      <c r="F40" s="161">
        <f>'Input|Reported opex'!$F$60</f>
        <v>43617</v>
      </c>
      <c r="J40" s="109">
        <f>IF(YEAR(J$4)=PPLastYear,'Input|Reported opex'!J60,0)</f>
        <v>0</v>
      </c>
      <c r="K40" s="109">
        <f>IF(YEAR(K$4)=PPLastYear,'Input|Reported opex'!K60,0)</f>
        <v>0</v>
      </c>
      <c r="L40" s="109">
        <f>IF(YEAR(L$4)=PPLastYear,'Input|Reported opex'!L60,0)</f>
        <v>0</v>
      </c>
      <c r="M40" s="109">
        <f>IF(YEAR(M$4)=PPLastYear,'Input|Reported opex'!M60,0)</f>
        <v>0</v>
      </c>
      <c r="N40" s="109">
        <f>IF(YEAR(N$4)=PPLastYear,'Input|Reported opex'!N60,0)</f>
        <v>0</v>
      </c>
      <c r="O40" s="109">
        <f>IF(YEAR(O$4)=PPLastYear,'Input|Reported opex'!O60,0)</f>
        <v>0</v>
      </c>
      <c r="P40" s="109">
        <f>IF(YEAR(P$4)=PPLastYear,'Input|Reported opex'!P60,0)</f>
        <v>0</v>
      </c>
      <c r="Q40" s="109">
        <f>IF(YEAR(Q$4)=PPLastYear,'Input|Reported opex'!Q60,0)</f>
        <v>0</v>
      </c>
      <c r="R40" s="109">
        <f>IF(YEAR(R$4)=PPLastYear,'Input|Reported opex'!R60,0)</f>
        <v>0</v>
      </c>
      <c r="S40" s="109">
        <f>IF(YEAR(S$4)=PPLastYear,'Input|Reported opex'!S60,0)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43617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opex'!$C$61</f>
        <v>Adjustment 3</v>
      </c>
      <c r="D43" s="108" t="s">
        <v>96</v>
      </c>
      <c r="E43" s="30" t="str">
        <f>'Input|Reported opex'!$E$61</f>
        <v>$millions</v>
      </c>
      <c r="F43" s="161">
        <f>'Input|Reported opex'!$F$61</f>
        <v>43617</v>
      </c>
      <c r="J43" s="109">
        <f>IF(YEAR(J$4)=PPLastYear,'Input|Reported opex'!J61,0)</f>
        <v>0</v>
      </c>
      <c r="K43" s="109">
        <f>IF(YEAR(K$4)=PPLastYear,'Input|Reported opex'!K61,0)</f>
        <v>0</v>
      </c>
      <c r="L43" s="109">
        <f>IF(YEAR(L$4)=PPLastYear,'Input|Reported opex'!L61,0)</f>
        <v>0</v>
      </c>
      <c r="M43" s="109">
        <f>IF(YEAR(M$4)=PPLastYear,'Input|Reported opex'!M61,0)</f>
        <v>0</v>
      </c>
      <c r="N43" s="109">
        <f>IF(YEAR(N$4)=PPLastYear,'Input|Reported opex'!N61,0)</f>
        <v>0</v>
      </c>
      <c r="O43" s="109">
        <f>IF(YEAR(O$4)=PPLastYear,'Input|Reported opex'!O61,0)</f>
        <v>0</v>
      </c>
      <c r="P43" s="109">
        <f>IF(YEAR(P$4)=PPLastYear,'Input|Reported opex'!P61,0)</f>
        <v>0</v>
      </c>
      <c r="Q43" s="109">
        <f>IF(YEAR(Q$4)=PPLastYear,'Input|Reported opex'!Q61,0)</f>
        <v>0</v>
      </c>
      <c r="R43" s="109">
        <f>IF(YEAR(R$4)=PPLastYear,'Input|Reported opex'!R61,0)</f>
        <v>0</v>
      </c>
      <c r="S43" s="109">
        <f>IF(YEAR(S$4)=PPLastYear,'Input|Reported opex'!S61,0)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43617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opex'!$C$62</f>
        <v>Adjustment 4</v>
      </c>
      <c r="D46" s="108" t="s">
        <v>96</v>
      </c>
      <c r="E46" s="30" t="str">
        <f>'Input|Reported opex'!$E$62</f>
        <v>$millions</v>
      </c>
      <c r="F46" s="161">
        <f>'Input|Reported opex'!$F$62</f>
        <v>43617</v>
      </c>
      <c r="J46" s="109">
        <f>IF(YEAR(J$4)=PPLastYear,'Input|Reported opex'!J62,0)</f>
        <v>0</v>
      </c>
      <c r="K46" s="109">
        <f>IF(YEAR(K$4)=PPLastYear,'Input|Reported opex'!K62,0)</f>
        <v>0</v>
      </c>
      <c r="L46" s="109">
        <f>IF(YEAR(L$4)=PPLastYear,'Input|Reported opex'!L62,0)</f>
        <v>0</v>
      </c>
      <c r="M46" s="109">
        <f>IF(YEAR(M$4)=PPLastYear,'Input|Reported opex'!M62,0)</f>
        <v>0</v>
      </c>
      <c r="N46" s="109">
        <f>IF(YEAR(N$4)=PPLastYear,'Input|Reported opex'!N62,0)</f>
        <v>0</v>
      </c>
      <c r="O46" s="109">
        <f>IF(YEAR(O$4)=PPLastYear,'Input|Reported opex'!O62,0)</f>
        <v>0</v>
      </c>
      <c r="P46" s="109">
        <f>IF(YEAR(P$4)=PPLastYear,'Input|Reported opex'!P62,0)</f>
        <v>0</v>
      </c>
      <c r="Q46" s="109">
        <f>IF(YEAR(Q$4)=PPLastYear,'Input|Reported opex'!Q62,0)</f>
        <v>0</v>
      </c>
      <c r="R46" s="109">
        <f>IF(YEAR(R$4)=PPLastYear,'Input|Reported opex'!R62,0)</f>
        <v>0</v>
      </c>
      <c r="S46" s="109">
        <f>IF(YEAR(S$4)=PPLastYear,'Input|Reported opex'!S62,0)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43617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opex'!$C$63</f>
        <v>Adjustment 5</v>
      </c>
      <c r="D49" s="108" t="s">
        <v>96</v>
      </c>
      <c r="E49" s="30" t="str">
        <f>'Input|Reported opex'!$E$63</f>
        <v>$millions</v>
      </c>
      <c r="F49" s="161">
        <f>'Input|Reported opex'!$F$63</f>
        <v>43617</v>
      </c>
      <c r="J49" s="109">
        <f>IF(YEAR(J$4)=PPLastYear,'Input|Reported opex'!J63,0)</f>
        <v>0</v>
      </c>
      <c r="K49" s="109">
        <f>IF(YEAR(K$4)=PPLastYear,'Input|Reported opex'!K63,0)</f>
        <v>0</v>
      </c>
      <c r="L49" s="109">
        <f>IF(YEAR(L$4)=PPLastYear,'Input|Reported opex'!L63,0)</f>
        <v>0</v>
      </c>
      <c r="M49" s="109">
        <f>IF(YEAR(M$4)=PPLastYear,'Input|Reported opex'!M63,0)</f>
        <v>0</v>
      </c>
      <c r="N49" s="109">
        <f>IF(YEAR(N$4)=PPLastYear,'Input|Reported opex'!N63,0)</f>
        <v>0</v>
      </c>
      <c r="O49" s="109">
        <f>IF(YEAR(O$4)=PPLastYear,'Input|Reported opex'!O63,0)</f>
        <v>0</v>
      </c>
      <c r="P49" s="109">
        <f>IF(YEAR(P$4)=PPLastYear,'Input|Reported opex'!P63,0)</f>
        <v>0</v>
      </c>
      <c r="Q49" s="109">
        <f>IF(YEAR(Q$4)=PPLastYear,'Input|Reported opex'!Q63,0)</f>
        <v>0</v>
      </c>
      <c r="R49" s="109">
        <f>IF(YEAR(R$4)=PPLastYear,'Input|Reported opex'!R63,0)</f>
        <v>0</v>
      </c>
      <c r="S49" s="109">
        <f>IF(YEAR(S$4)=PPLastYear,'Input|Reported opex'!S63,0)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43617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43617</v>
      </c>
      <c r="J52" s="115">
        <f>SUM(J33,J38,J41,J44,J47,J50)*'Input|Reported opex'!J67</f>
        <v>0</v>
      </c>
      <c r="K52" s="115">
        <f>SUM(K33,K38,K41,K44,K47,K50)*'Input|Reported opex'!K67</f>
        <v>0</v>
      </c>
      <c r="L52" s="115">
        <f>SUM(L33,L38,L41,L44,L47,L50)*'Input|Reported opex'!L67</f>
        <v>0</v>
      </c>
      <c r="M52" s="115">
        <f>SUM(M33,M38,M41,M44,M47,M50)*'Input|Reported opex'!M67</f>
        <v>0</v>
      </c>
      <c r="N52" s="115">
        <f>SUM(N33,N38,N41,N44,N47,N50)*'Input|Reported opex'!N67</f>
        <v>0</v>
      </c>
      <c r="O52" s="115">
        <f>SUM(O33,O38,O41,O44,O47,O50)*'Input|Reported opex'!O67</f>
        <v>0</v>
      </c>
      <c r="P52" s="115">
        <f>SUM(P33,P38,P41,P44,P47,P50)*'Input|Reported opex'!P67</f>
        <v>0</v>
      </c>
      <c r="Q52" s="115">
        <f>SUM(Q33,Q38,Q41,Q44,Q47,Q50)*'Input|Reported opex'!Q67</f>
        <v>0</v>
      </c>
      <c r="R52" s="115">
        <f>SUM(R33,R38,R41,R44,R47,R50)*'Input|Reported opex'!R67</f>
        <v>0</v>
      </c>
      <c r="S52" s="115">
        <f>SUM(S33,S38,S41,S44,S47,S50)*'Input|Reported opex'!S67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7" t="s">
        <v>182</v>
      </c>
      <c r="D54" s="112" t="s">
        <v>103</v>
      </c>
      <c r="E54" s="112" t="str">
        <f>$E$8</f>
        <v>$millions</v>
      </c>
      <c r="F54" s="178">
        <f>$F$8</f>
        <v>43617</v>
      </c>
      <c r="J54" s="176">
        <f>SUM(J33,J35,J38,J41,J44,J47,J50,J52)</f>
        <v>0</v>
      </c>
      <c r="K54" s="176">
        <f t="shared" ref="K54:S54" si="5">SUM(K33,K35,K38,K41,K44,K47,K50,K52)</f>
        <v>0</v>
      </c>
      <c r="L54" s="176">
        <f t="shared" si="5"/>
        <v>0</v>
      </c>
      <c r="M54" s="176">
        <f t="shared" si="5"/>
        <v>0</v>
      </c>
      <c r="N54" s="176">
        <f t="shared" si="5"/>
        <v>271.89720175870286</v>
      </c>
      <c r="O54" s="176">
        <f t="shared" si="5"/>
        <v>0</v>
      </c>
      <c r="P54" s="176">
        <f t="shared" si="5"/>
        <v>0</v>
      </c>
      <c r="Q54" s="176">
        <f t="shared" si="5"/>
        <v>0</v>
      </c>
      <c r="R54" s="176">
        <f t="shared" si="5"/>
        <v>0</v>
      </c>
      <c r="S54" s="176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43983</v>
      </c>
      <c r="P58" s="163">
        <f>IF(YEAR(P$4)&gt;='Input|General'!$G$13,IF(YEAR(P$4)&lt;='Input|General'!$G$14,P$4,""),"")</f>
        <v>44348</v>
      </c>
      <c r="Q58" s="163">
        <f>IF(YEAR(Q$4)&gt;='Input|General'!$G$13,IF(YEAR(Q$4)&lt;='Input|General'!$G$14,Q$4,""),"")</f>
        <v>44713</v>
      </c>
      <c r="R58" s="163">
        <f>IF(YEAR(R$4)&gt;='Input|General'!$G$13,IF(YEAR(R$4)&lt;='Input|General'!$G$14,R$4,""),"")</f>
        <v>45078</v>
      </c>
      <c r="S58" s="163">
        <f>IF(YEAR(S$4)&gt;='Input|General'!$G$13,IF(YEAR(S$4)&lt;='Input|General'!$G$14,S$4,""),"")</f>
        <v>45444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112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0</v>
      </c>
      <c r="M61" s="117">
        <f>IF(M58=M4,AVERAGE('Input|Rate of change'!N95:N98),0)</f>
        <v>0</v>
      </c>
      <c r="N61" s="117">
        <f>IF(N58=N4,AVERAGE('Input|Rate of change'!O95:O98),0)</f>
        <v>0</v>
      </c>
      <c r="O61" s="117">
        <f>IF(O58=O4,AVERAGE('Input|Rate of change'!P95:P98),0)</f>
        <v>1.6991293352901161E-2</v>
      </c>
      <c r="P61" s="117">
        <f>IF(P58=P4,AVERAGE('Input|Rate of change'!Q95:Q98),0)</f>
        <v>1.4695070638660671E-2</v>
      </c>
      <c r="Q61" s="117">
        <f>IF(Q58=Q4,AVERAGE('Input|Rate of change'!R95:R98),0)</f>
        <v>1.8422005030129165E-2</v>
      </c>
      <c r="R61" s="117">
        <f>IF(R58=R4,AVERAGE('Input|Rate of change'!S95:S98),0)</f>
        <v>1.771232557887218E-2</v>
      </c>
      <c r="S61" s="117">
        <f>IF(S58=S4,AVERAGE('Input|Rate of change'!T95:T98),0)</f>
        <v>1.8117325305891979E-2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2.9047795214115352E-3</v>
      </c>
      <c r="P63" s="117">
        <f>SUMPRODUCT('Input|Rate of change'!Q36:Q43,'Input|Rate of change'!Q49:Q56)</f>
        <v>4.5774030521511236E-3</v>
      </c>
      <c r="Q63" s="117">
        <f>SUMPRODUCT('Input|Rate of change'!R36:R43,'Input|Rate of change'!R49:R56)</f>
        <v>6.9961056024090791E-3</v>
      </c>
      <c r="R63" s="117">
        <f>SUMPRODUCT('Input|Rate of change'!S36:S43,'Input|Rate of change'!S49:S56)</f>
        <v>7.778929753147373E-3</v>
      </c>
      <c r="S63" s="117">
        <f>SUMPRODUCT('Input|Rate of change'!T36:T43,'Input|Rate of change'!T49:T56)</f>
        <v>6.5995358481373738E-3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0</v>
      </c>
      <c r="P65" s="117">
        <f>'Input|Rate of change'!Q104</f>
        <v>0</v>
      </c>
      <c r="Q65" s="117">
        <f>'Input|Rate of change'!R104</f>
        <v>0</v>
      </c>
      <c r="R65" s="117">
        <f>'Input|Rate of change'!S104</f>
        <v>0</v>
      </c>
      <c r="S65" s="117">
        <f>'Input|Rate of change'!T104</f>
        <v>0</v>
      </c>
    </row>
    <row r="66" spans="1:47" outlineLevel="1">
      <c r="C66" s="111"/>
      <c r="J66" s="172"/>
      <c r="K66" s="172"/>
      <c r="L66" s="172"/>
      <c r="M66" s="172"/>
      <c r="N66" s="172"/>
      <c r="O66" s="172"/>
      <c r="P66" s="172"/>
      <c r="Q66" s="172"/>
      <c r="R66" s="172"/>
      <c r="S66" s="172"/>
    </row>
    <row r="67" spans="1:47" outlineLevel="1">
      <c r="C67" s="118" t="s">
        <v>150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1.9945428835286272E-2</v>
      </c>
      <c r="P67" s="143">
        <f t="shared" si="6"/>
        <v>1.9339738952004693E-2</v>
      </c>
      <c r="Q67" s="143">
        <f t="shared" si="6"/>
        <v>2.5546992925137069E-2</v>
      </c>
      <c r="R67" s="143">
        <f t="shared" si="6"/>
        <v>2.5629038268462523E-2</v>
      </c>
      <c r="S67" s="143">
        <f t="shared" si="6"/>
        <v>2.483642709185796E-2</v>
      </c>
    </row>
    <row r="68" spans="1:47" outlineLevel="1">
      <c r="C68" s="124" t="s">
        <v>151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1.9945428835286272E-2</v>
      </c>
      <c r="P68" s="117">
        <f t="array" ref="P68">IF(P$58=P$4,PRODUCT(1+$J67:P67)-1,"")</f>
        <v>3.9670907174251147E-2</v>
      </c>
      <c r="Q68" s="117">
        <f t="array" ref="Q68">IF(Q$58=Q$4,PRODUCT(1+$J67:Q67)-1,"")</f>
        <v>6.6231372484302664E-2</v>
      </c>
      <c r="R68" s="117">
        <f t="array" ref="R68">IF(R$58=R$4,PRODUCT(1+$J67:R67)-1,"")</f>
        <v>9.3557857132738231E-2</v>
      </c>
      <c r="S68" s="117">
        <f t="array" ref="S68">IF(S$58=S$4,PRODUCT(1+$J67:S67)-1,"")</f>
        <v>0.12071792712214391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43983</v>
      </c>
      <c r="P72" s="163">
        <f>IF(YEAR(P$4)&gt;='Input|General'!$G$13,IF(YEAR(P$4)&lt;='Input|General'!$G$14,P$4,""),"")</f>
        <v>44348</v>
      </c>
      <c r="Q72" s="163">
        <f>IF(YEAR(Q$4)&gt;='Input|General'!$G$13,IF(YEAR(Q$4)&lt;='Input|General'!$G$14,Q$4,""),"")</f>
        <v>44713</v>
      </c>
      <c r="R72" s="163">
        <f>IF(YEAR(R$4)&gt;='Input|General'!$G$13,IF(YEAR(R$4)&lt;='Input|General'!$G$14,R$4,""),"")</f>
        <v>45078</v>
      </c>
      <c r="S72" s="163">
        <f>IF(YEAR(S$4)&gt;='Input|General'!$G$13,IF(YEAR(S$4)&lt;='Input|General'!$G$14,S$4,""),"")</f>
        <v>45444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43617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43617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43617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43617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43617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43617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43617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43617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43617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4"/>
      <c r="K83" s="174"/>
      <c r="L83" s="174"/>
      <c r="M83" s="174"/>
      <c r="N83" s="174"/>
      <c r="O83" s="174"/>
      <c r="P83" s="174"/>
      <c r="Q83" s="174"/>
      <c r="R83" s="174"/>
      <c r="S83" s="174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3">
        <f t="shared" si="8"/>
        <v>43617</v>
      </c>
      <c r="G84" s="32"/>
      <c r="H84" s="32"/>
      <c r="I84" s="32"/>
      <c r="J84" s="175">
        <f>SUM(J73:J83)</f>
        <v>0</v>
      </c>
      <c r="K84" s="175">
        <f t="shared" ref="K84:S84" si="9">SUM(K73:K83)</f>
        <v>0</v>
      </c>
      <c r="L84" s="175">
        <f t="shared" si="9"/>
        <v>0</v>
      </c>
      <c r="M84" s="175">
        <f t="shared" si="9"/>
        <v>0</v>
      </c>
      <c r="N84" s="175">
        <f t="shared" si="9"/>
        <v>0</v>
      </c>
      <c r="O84" s="175">
        <f t="shared" si="9"/>
        <v>0</v>
      </c>
      <c r="P84" s="175">
        <f t="shared" si="9"/>
        <v>0</v>
      </c>
      <c r="Q84" s="175">
        <f t="shared" si="9"/>
        <v>0</v>
      </c>
      <c r="R84" s="175">
        <f t="shared" si="9"/>
        <v>0</v>
      </c>
      <c r="S84" s="175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128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117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43983</v>
      </c>
      <c r="P88" s="163">
        <f>IF(YEAR(P$4)&gt;='Input|General'!$G$13,IF(YEAR(P$4)&lt;='Input|General'!$G$14,P$4,""),"")</f>
        <v>44348</v>
      </c>
      <c r="Q88" s="163">
        <f>IF(YEAR(Q$4)&gt;='Input|General'!$G$13,IF(YEAR(Q$4)&lt;='Input|General'!$G$14,Q$4,""),"")</f>
        <v>44713</v>
      </c>
      <c r="R88" s="163">
        <f>IF(YEAR(R$4)&gt;='Input|General'!$G$13,IF(YEAR(R$4)&lt;='Input|General'!$G$14,R$4,""),"")</f>
        <v>45078</v>
      </c>
      <c r="S88" s="163">
        <f>IF(YEAR(S$4)&gt;='Input|General'!$G$13,IF(YEAR(S$4)&lt;='Input|General'!$G$14,S$4,""),"")</f>
        <v>45444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43617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43617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43617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129</v>
      </c>
      <c r="D94" s="122" t="s">
        <v>30</v>
      </c>
      <c r="E94" s="122" t="str">
        <f>$E$8</f>
        <v>$millions</v>
      </c>
      <c r="F94" s="173">
        <f t="shared" ref="F94" si="11">$F$8</f>
        <v>43617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43983</v>
      </c>
      <c r="P98" s="163">
        <f>IF(YEAR(P$4)&gt;='Input|General'!$G$13,IF(YEAR(P$4)&lt;='Input|General'!$G$14,P$4,""),"")</f>
        <v>44348</v>
      </c>
      <c r="Q98" s="163">
        <f>IF(YEAR(Q$4)&gt;='Input|General'!$G$13,IF(YEAR(Q$4)&lt;='Input|General'!$G$14,Q$4,""),"")</f>
        <v>44713</v>
      </c>
      <c r="R98" s="163">
        <f>IF(YEAR(R$4)&gt;='Input|General'!$G$13,IF(YEAR(R$4)&lt;='Input|General'!$G$14,R$4,""),"")</f>
        <v>45078</v>
      </c>
      <c r="S98" s="163">
        <f>IF(YEAR(S$4)&gt;='Input|General'!$G$13,IF(YEAR(S$4)&lt;='Input|General'!$G$14,S$4,""),"")</f>
        <v>45444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146</v>
      </c>
      <c r="D100" s="126" t="s">
        <v>30</v>
      </c>
      <c r="E100" s="126" t="str">
        <f>$E$8</f>
        <v>$millions</v>
      </c>
      <c r="F100" s="173">
        <f t="shared" ref="F100:F102" si="13">$F$8</f>
        <v>43617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277.32030804689452</v>
      </c>
      <c r="P100" s="151">
        <f t="shared" si="14"/>
        <v>282.68361041061098</v>
      </c>
      <c r="Q100" s="151">
        <f t="shared" si="14"/>
        <v>289.90532660582312</v>
      </c>
      <c r="R100" s="151">
        <f t="shared" si="14"/>
        <v>297.33532131563487</v>
      </c>
      <c r="S100" s="151">
        <f t="shared" si="14"/>
        <v>304.72006834532482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3">
        <f t="shared" si="13"/>
        <v>43617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277.32030804689452</v>
      </c>
      <c r="P101" s="151">
        <f t="shared" si="15"/>
        <v>282.68361041061098</v>
      </c>
      <c r="Q101" s="151">
        <f t="shared" si="15"/>
        <v>289.90532660582312</v>
      </c>
      <c r="R101" s="151">
        <f t="shared" si="15"/>
        <v>297.33532131563487</v>
      </c>
      <c r="S101" s="151">
        <f t="shared" si="15"/>
        <v>304.72006834532482</v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3">
        <f t="shared" si="13"/>
        <v>43617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280.55160121554957</v>
      </c>
      <c r="P102" s="151">
        <f>IF(YEAR(P$4)&gt;=FPFirstYear,IF(YEAR(P$4)&lt;=FPLastYear,P101+'Input|Step changes'!P38,""),"")</f>
        <v>285.97132324268091</v>
      </c>
      <c r="Q102" s="151">
        <f>IF(YEAR(Q$4)&gt;=FPFirstYear,IF(YEAR(Q$4)&lt;=FPLastYear,Q101+'Input|Step changes'!Q38,""),"")</f>
        <v>293.22793586761088</v>
      </c>
      <c r="R102" s="151">
        <f>IF(YEAR(R$4)&gt;=FPFirstYear,IF(YEAR(R$4)&lt;=FPLastYear,R101+'Input|Step changes'!R38,""),"")</f>
        <v>300.68640656488122</v>
      </c>
      <c r="S102" s="151">
        <f>IF(YEAR(S$4)&gt;=FPFirstYear,IF(YEAR(S$4)&lt;=FPLastYear,S101+'Input|Step changes'!S38,""),"")</f>
        <v>308.10178301241814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1" priority="100" operator="equal">
      <formula>"Check"</formula>
    </cfRule>
    <cfRule type="cellIs" dxfId="90" priority="101" operator="equal">
      <formula>"Ok"</formula>
    </cfRule>
  </conditionalFormatting>
  <conditionalFormatting sqref="V1">
    <cfRule type="cellIs" dxfId="89" priority="102" operator="equal">
      <formula>"Check"</formula>
    </cfRule>
    <cfRule type="cellIs" dxfId="88" priority="103" operator="equal">
      <formula>"Ok"</formula>
    </cfRule>
  </conditionalFormatting>
  <conditionalFormatting sqref="R39:S39 R42:S42 R45:S45 R48:S48 J12:S18">
    <cfRule type="cellIs" dxfId="87" priority="99" operator="equal">
      <formula>0</formula>
    </cfRule>
  </conditionalFormatting>
  <conditionalFormatting sqref="J13:S13">
    <cfRule type="cellIs" dxfId="86" priority="98" operator="equal">
      <formula>0</formula>
    </cfRule>
  </conditionalFormatting>
  <conditionalFormatting sqref="J14:S14">
    <cfRule type="cellIs" dxfId="85" priority="97" operator="equal">
      <formula>0</formula>
    </cfRule>
  </conditionalFormatting>
  <conditionalFormatting sqref="J15:S15">
    <cfRule type="cellIs" dxfId="84" priority="96" operator="equal">
      <formula>0</formula>
    </cfRule>
  </conditionalFormatting>
  <conditionalFormatting sqref="J16:S16">
    <cfRule type="cellIs" dxfId="83" priority="95" operator="equal">
      <formula>0</formula>
    </cfRule>
  </conditionalFormatting>
  <conditionalFormatting sqref="J17:S18">
    <cfRule type="cellIs" dxfId="82" priority="94" operator="equal">
      <formula>0</formula>
    </cfRule>
  </conditionalFormatting>
  <conditionalFormatting sqref="J62:S65">
    <cfRule type="cellIs" dxfId="81" priority="93" operator="equal">
      <formula>0</formula>
    </cfRule>
  </conditionalFormatting>
  <conditionalFormatting sqref="J74:S82 J90:S92">
    <cfRule type="cellIs" dxfId="80" priority="91" operator="equal">
      <formula>0</formula>
    </cfRule>
  </conditionalFormatting>
  <conditionalFormatting sqref="J36:S36 J33:S34 J51:S54">
    <cfRule type="cellIs" dxfId="79" priority="88" operator="equal">
      <formula>0</formula>
    </cfRule>
  </conditionalFormatting>
  <conditionalFormatting sqref="J101:S102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46:S46">
    <cfRule type="cellIs" dxfId="76" priority="49" operator="equal">
      <formula>0</formula>
    </cfRule>
  </conditionalFormatting>
  <conditionalFormatting sqref="J39:Q39 J42:Q42 J45:Q45">
    <cfRule type="cellIs" dxfId="75" priority="67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7:S37">
    <cfRule type="cellIs" dxfId="73" priority="62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48:Q48">
    <cfRule type="cellIs" dxfId="71" priority="52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0:S40">
    <cfRule type="cellIs" dxfId="69" priority="58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6:S46">
    <cfRule type="cellIs" dxfId="67" priority="50" operator="equal">
      <formula>0</formula>
    </cfRule>
  </conditionalFormatting>
  <conditionalFormatting sqref="J43:S43">
    <cfRule type="cellIs" dxfId="66" priority="54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9:S49">
    <cfRule type="cellIs" dxfId="64" priority="44" operator="equal">
      <formula>0</formula>
    </cfRule>
  </conditionalFormatting>
  <conditionalFormatting sqref="J49:S49">
    <cfRule type="cellIs" dxfId="63" priority="45" operator="equal">
      <formula>0</formula>
    </cfRule>
  </conditionalFormatting>
  <conditionalFormatting sqref="J38:S38">
    <cfRule type="cellIs" dxfId="62" priority="43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41:S41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4:S44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7:S47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50:S50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100:S100">
    <cfRule type="cellIs" dxfId="52" priority="2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:S10">
    <cfRule type="expression" dxfId="50" priority="21">
      <formula>J$10=J$4</formula>
    </cfRule>
  </conditionalFormatting>
  <conditionalFormatting sqref="J25:S25">
    <cfRule type="expression" dxfId="49" priority="20">
      <formula>J$10=J$4</formula>
    </cfRule>
  </conditionalFormatting>
  <conditionalFormatting sqref="J54:S54">
    <cfRule type="expression" dxfId="48" priority="19">
      <formula>J$10=J$4</formula>
    </cfRule>
  </conditionalFormatting>
  <conditionalFormatting sqref="J26:S28 J30:S30">
    <cfRule type="cellIs" dxfId="47" priority="16" operator="equal">
      <formula>0</formula>
    </cfRule>
  </conditionalFormatting>
  <conditionalFormatting sqref="J31:S32">
    <cfRule type="cellIs" dxfId="46" priority="15" operator="equal">
      <formula>0</formula>
    </cfRule>
  </conditionalFormatting>
  <conditionalFormatting sqref="J68:S68">
    <cfRule type="cellIs" dxfId="45" priority="12" operator="equal">
      <formula>0</formula>
    </cfRule>
  </conditionalFormatting>
  <conditionalFormatting sqref="J35:S35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29:S29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19:S24">
    <cfRule type="cellIs" dxfId="40" priority="7" operator="equal">
      <formula>0</formula>
    </cfRule>
  </conditionalFormatting>
  <conditionalFormatting sqref="J20:S20">
    <cfRule type="cellIs" dxfId="39" priority="6" operator="equal">
      <formula>0</formula>
    </cfRule>
  </conditionalFormatting>
  <conditionalFormatting sqref="J21:S21">
    <cfRule type="cellIs" dxfId="38" priority="5" operator="equal">
      <formula>0</formula>
    </cfRule>
  </conditionalFormatting>
  <conditionalFormatting sqref="J22:S22">
    <cfRule type="cellIs" dxfId="37" priority="4" operator="equal">
      <formula>0</formula>
    </cfRule>
  </conditionalFormatting>
  <conditionalFormatting sqref="J23:S23">
    <cfRule type="cellIs" dxfId="36" priority="3" operator="equal">
      <formula>0</formula>
    </cfRule>
  </conditionalFormatting>
  <conditionalFormatting sqref="J24:S24">
    <cfRule type="cellIs" dxfId="35" priority="2" operator="equal">
      <formula>0</formula>
    </cfRule>
  </conditionalFormatting>
  <conditionalFormatting sqref="J67:S67">
    <cfRule type="expression" dxfId="34" priority="105">
      <formula>J$58=J$4</formula>
    </cfRule>
    <cfRule type="cellIs" dxfId="33" priority="106" operator="equal">
      <formula>0</formula>
    </cfRule>
  </conditionalFormatting>
  <conditionalFormatting sqref="J94:S94">
    <cfRule type="expression" dxfId="32" priority="107">
      <formula>J$88=J$4</formula>
    </cfRule>
    <cfRule type="cellIs" dxfId="31" priority="108" operator="equal">
      <formula>0</formula>
    </cfRule>
  </conditionalFormatting>
  <conditionalFormatting sqref="J84:S84">
    <cfRule type="expression" dxfId="30" priority="109">
      <formula>J$72=J$4</formula>
    </cfRule>
    <cfRule type="cellIs" dxfId="29" priority="110" operator="equal">
      <formula>0</formula>
    </cfRule>
  </conditionalFormatting>
  <conditionalFormatting sqref="J58:S58 J72:S72 J88:S88">
    <cfRule type="expression" dxfId="28" priority="111">
      <formula>J$58=J$4</formula>
    </cfRule>
  </conditionalFormatting>
  <conditionalFormatting sqref="J98:S98">
    <cfRule type="expression" dxfId="27" priority="114">
      <formula>J$98=J$4</formula>
    </cfRule>
  </conditionalFormatting>
  <conditionalFormatting sqref="J61:S61">
    <cfRule type="cellIs" dxfId="26" priority="1" operator="equal">
      <formula>0</formula>
    </cfRule>
  </conditionalFormatting>
  <dataValidations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O13" sqref="O13:S13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6" t="s">
        <v>24</v>
      </c>
      <c r="V1" s="76" t="str">
        <f>'Check|List'!$S$1</f>
        <v>Check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1"/>
      <c r="E3" s="181"/>
      <c r="F3" s="181"/>
      <c r="G3" s="181"/>
      <c r="H3" s="181"/>
      <c r="I3" s="181"/>
      <c r="J3" s="171" t="s">
        <v>131</v>
      </c>
      <c r="K3" s="171"/>
      <c r="L3" s="171"/>
      <c r="M3" s="181"/>
      <c r="N3" s="221"/>
      <c r="O3" s="221"/>
      <c r="P3" s="221"/>
      <c r="Q3" s="221"/>
      <c r="R3" s="221"/>
      <c r="S3" s="221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43617</v>
      </c>
      <c r="H13" s="32"/>
      <c r="I13" s="32"/>
      <c r="J13" s="179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79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79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79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79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79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277.32030804689452</v>
      </c>
      <c r="P13" s="179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282.68361041061098</v>
      </c>
      <c r="Q13" s="179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289.90532660582312</v>
      </c>
      <c r="R13" s="179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297.33532131563487</v>
      </c>
      <c r="S13" s="179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304.72006834532482</v>
      </c>
      <c r="T13" s="111"/>
      <c r="U13" s="152"/>
    </row>
    <row r="14" spans="1:26">
      <c r="C14" s="111">
        <f>'Input|Step changes'!C28</f>
        <v>0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79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79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79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79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79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79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79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79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79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79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43617</v>
      </c>
      <c r="H15" s="32"/>
      <c r="I15" s="32"/>
      <c r="J15" s="179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79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79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79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79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79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79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79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79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79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43617</v>
      </c>
      <c r="H16" s="32"/>
      <c r="I16" s="32"/>
      <c r="J16" s="179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79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79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79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79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79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79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79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79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79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6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49" workbookViewId="0">
      <selection activeCell="G64" sqref="G6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133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134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135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136</v>
      </c>
      <c r="D28" s="16" t="s">
        <v>73</v>
      </c>
      <c r="E28" s="16"/>
      <c r="F28" s="16"/>
      <c r="G28" s="154">
        <v>36617</v>
      </c>
    </row>
    <row r="29" spans="1:47">
      <c r="C29" s="15" t="s">
        <v>137</v>
      </c>
      <c r="D29" s="16" t="s">
        <v>73</v>
      </c>
      <c r="E29" s="16"/>
      <c r="F29" s="16"/>
      <c r="G29" s="154">
        <v>36647</v>
      </c>
    </row>
    <row r="30" spans="1:47">
      <c r="C30" s="15" t="s">
        <v>138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139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140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141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142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143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144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168</v>
      </c>
      <c r="H40" s="14" t="s">
        <v>166</v>
      </c>
      <c r="I40" s="14" t="s">
        <v>167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2.75">
      <c r="A62" s="43"/>
      <c r="B62" s="51" t="s">
        <v>164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165</v>
      </c>
      <c r="H64" s="14" t="s">
        <v>131</v>
      </c>
    </row>
    <row r="65" spans="1:47">
      <c r="C65" s="15" t="s">
        <v>152</v>
      </c>
      <c r="D65" s="16" t="s">
        <v>103</v>
      </c>
      <c r="E65" s="16"/>
      <c r="F65" s="16"/>
      <c r="G65" s="182" t="str">
        <f>IF(MONTH('Input|General'!$G$9)=12,PPFirstYear,PPFirstYear-1&amp;"–"&amp;RIGHT(PPFirstYear,2))</f>
        <v>2014–15</v>
      </c>
      <c r="H65" s="184">
        <f>DATE(PPFirstYear,MONTH('Input|General'!$G$9),1)</f>
        <v>42156</v>
      </c>
    </row>
    <row r="66" spans="1:47">
      <c r="C66" s="15" t="s">
        <v>153</v>
      </c>
      <c r="D66" s="16" t="s">
        <v>103</v>
      </c>
      <c r="E66" s="16"/>
      <c r="F66" s="16"/>
      <c r="G66" s="183" t="str">
        <f>IF(PPLastYear-PPFirstYear&lt;1,"",LEFT(G65,4)+1&amp;"–"&amp;RIGHT(G65,2)+1)</f>
        <v>2015–16</v>
      </c>
      <c r="H66" s="184">
        <f>IF(PPLastYear-PPFirstYear&lt;1,"",DATE(PPFirstYear+1,MONTH('Input|General'!$G$9),1))</f>
        <v>42522</v>
      </c>
    </row>
    <row r="67" spans="1:47">
      <c r="C67" s="15" t="s">
        <v>154</v>
      </c>
      <c r="D67" s="16" t="s">
        <v>103</v>
      </c>
      <c r="E67" s="16"/>
      <c r="F67" s="16"/>
      <c r="G67" s="183" t="str">
        <f>IF(PPLastYear-PPFirstYear&lt;2,"",LEFT(G66,4)+1&amp;"–"&amp;RIGHT(G66,2)+1)</f>
        <v>2016–17</v>
      </c>
      <c r="H67" s="184">
        <f>IF(PPLastYear-PPFirstYear&lt;2,"",DATE(PPFirstYear+2,MONTH('Input|General'!$G$9),1))</f>
        <v>42887</v>
      </c>
    </row>
    <row r="68" spans="1:47">
      <c r="C68" s="15" t="s">
        <v>155</v>
      </c>
      <c r="D68" s="16" t="s">
        <v>103</v>
      </c>
      <c r="E68" s="16"/>
      <c r="F68" s="16"/>
      <c r="G68" s="183" t="str">
        <f>IF(PPLastYear-PPFirstYear&lt;3,"",LEFT(G67,4)+1&amp;"–"&amp;RIGHT(G67,2)+1)</f>
        <v>2017–18</v>
      </c>
      <c r="H68" s="184">
        <f>IF(PPLastYear-PPFirstYear&lt;3,"",DATE(PPFirstYear+3,MONTH('Input|General'!$G$9),1))</f>
        <v>43252</v>
      </c>
    </row>
    <row r="69" spans="1:47">
      <c r="C69" s="15" t="s">
        <v>156</v>
      </c>
      <c r="D69" s="16" t="s">
        <v>103</v>
      </c>
      <c r="E69" s="16"/>
      <c r="F69" s="16"/>
      <c r="G69" s="183" t="str">
        <f>IF(PPLastYear-PPFirstYear&lt;4,"",LEFT(G68,4)+1&amp;"–"&amp;RIGHT(G68,2)+1)</f>
        <v>2018–19</v>
      </c>
      <c r="H69" s="184">
        <f>IF(PPLastYear-PPFirstYear&lt;4,"",DATE(PPFirstYear+4,MONTH('Input|General'!$G$9),1))</f>
        <v>43617</v>
      </c>
    </row>
    <row r="70" spans="1:47">
      <c r="C70" s="15" t="s">
        <v>157</v>
      </c>
      <c r="D70" s="16" t="s">
        <v>103</v>
      </c>
      <c r="E70" s="16"/>
      <c r="F70" s="16"/>
      <c r="G70" s="183" t="str">
        <f>IF(MONTH('Input|General'!$G$9)=12,FPFirstYear,FPFirstYear-1&amp;"–"&amp;RIGHT(FPFirstYear,2))</f>
        <v>2019–20</v>
      </c>
      <c r="H70" s="184">
        <f>DATE(FPFirstYear,MONTH('Input|General'!$G$9),1)</f>
        <v>43983</v>
      </c>
      <c r="T70" s="17"/>
    </row>
    <row r="71" spans="1:47">
      <c r="C71" s="15" t="s">
        <v>158</v>
      </c>
      <c r="D71" s="16" t="s">
        <v>103</v>
      </c>
      <c r="E71" s="16"/>
      <c r="F71" s="16"/>
      <c r="G71" s="183" t="str">
        <f>IF(FPLastYear-FPFirstYear&lt;1,"",LEFT(G70,4)+1&amp;"–"&amp;RIGHT(G70,2)+1)</f>
        <v>2020–21</v>
      </c>
      <c r="H71" s="184">
        <f>IF(FPLastYear-FPFirstYear&lt;1,"",DATE(FPFirstYear+1,MONTH('Input|General'!$G$9),1))</f>
        <v>44348</v>
      </c>
      <c r="T71" s="17"/>
    </row>
    <row r="72" spans="1:47">
      <c r="C72" s="15" t="s">
        <v>159</v>
      </c>
      <c r="D72" s="16" t="s">
        <v>103</v>
      </c>
      <c r="E72" s="16"/>
      <c r="F72" s="16"/>
      <c r="G72" s="183" t="str">
        <f>IF(FPLastYear-FPFirstYear&lt;2,"",LEFT(G71,4)+1&amp;"–"&amp;RIGHT(G71,2)+1)</f>
        <v>2021–22</v>
      </c>
      <c r="H72" s="184">
        <f>IF(FPLastYear-FPFirstYear&lt;2,"",DATE(FPFirstYear+2,MONTH('Input|General'!$G$9),1))</f>
        <v>44713</v>
      </c>
      <c r="T72" s="17"/>
    </row>
    <row r="73" spans="1:47">
      <c r="C73" s="15" t="s">
        <v>160</v>
      </c>
      <c r="D73" s="16" t="s">
        <v>103</v>
      </c>
      <c r="E73" s="16"/>
      <c r="F73" s="16"/>
      <c r="G73" s="183" t="str">
        <f>IF(FPLastYear-FPFirstYear&lt;3,"",LEFT(G72,4)+1&amp;"–"&amp;RIGHT(G72,2)+1)</f>
        <v>2022–23</v>
      </c>
      <c r="H73" s="184">
        <f>IF(FPLastYear-FPFirstYear&lt;3,"",DATE(FPFirstYear+3,MONTH('Input|General'!$G$9),1))</f>
        <v>45078</v>
      </c>
      <c r="T73" s="17"/>
    </row>
    <row r="74" spans="1:47">
      <c r="C74" s="15" t="s">
        <v>161</v>
      </c>
      <c r="D74" s="16" t="s">
        <v>103</v>
      </c>
      <c r="E74" s="16"/>
      <c r="F74" s="16"/>
      <c r="G74" s="183" t="str">
        <f>IF(FPLastYear-FPFirstYear&lt;4,"",LEFT(G73,4)+1&amp;"–"&amp;RIGHT(G73,2)+1)</f>
        <v>2023–24</v>
      </c>
      <c r="H74" s="184">
        <f>IF(FPLastYear-FPFirstYear&lt;4,"",DATE(FPFirstYear+4,MONTH('Input|General'!$G$9),1))</f>
        <v>45444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M9" sqref="M9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2018-10-27T06:45:57Z</dcterms:created>
  <dcterms:modified xsi:type="dcterms:W3CDTF">2018-10-27T06:46:06Z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