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EC9FADD-14DC-4EC4-AAA7-C9AB140A2B92}" xr6:coauthVersionLast="47" xr6:coauthVersionMax="47" xr10:uidLastSave="{00000000-0000-0000-0000-000000000000}"/>
  <bookViews>
    <workbookView xWindow="-120" yWindow="-120" windowWidth="29040" windowHeight="15840" xr2:uid="{9A897767-722B-426C-AC09-A0B0AAA5C718}"/>
  </bookViews>
  <sheets>
    <sheet name="Final Decision" sheetId="4" r:id="rId1"/>
    <sheet name="SC Input data and Target" sheetId="7" r:id="rId2"/>
    <sheet name="SC-AER Simulation Results" sheetId="8" r:id="rId3"/>
    <sheet name="MIC" sheetId="2" r:id="rId4"/>
    <sheet name="AER-ENet Smoothed Revenue" sheetId="6" r:id="rId5"/>
    <sheet name="7.9 STPIS with 2021" sheetId="3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AtRisk_FitDataRange_FIT_28AF7_1F99B" localSheetId="1" hidden="1">#REF!</definedName>
    <definedName name="_AtRisk_FitDataRange_FIT_28AF7_1F99B" localSheetId="2" hidden="1">#REF!</definedName>
    <definedName name="_AtRisk_FitDataRange_FIT_28AF7_1F99B" hidden="1">#REF!</definedName>
    <definedName name="_AtRisk_FitDataRange_FIT_2D65F_B893F" localSheetId="1" hidden="1">#REF!</definedName>
    <definedName name="_AtRisk_FitDataRange_FIT_2D65F_B893F" localSheetId="2" hidden="1">#REF!</definedName>
    <definedName name="_AtRisk_FitDataRange_FIT_2D65F_B893F" hidden="1">#REF!</definedName>
    <definedName name="_AtRisk_FitDataRange_FIT_53444_B6F0A" hidden="1">#REF!</definedName>
    <definedName name="_AtRisk_FitDataRange_FIT_6046A_B0EEE" hidden="1">#REF!</definedName>
    <definedName name="_AtRisk_FitDataRange_FIT_65992_237BE" hidden="1">#REF!</definedName>
    <definedName name="_AtRisk_FitDataRange_FIT_77513_24C6A" hidden="1">#REF!</definedName>
    <definedName name="_AtRisk_FitDataRange_FIT_77728_A3A06" hidden="1">#REF!</definedName>
    <definedName name="_AtRisk_FitDataRange_FIT_7BB60_E67B5" hidden="1">#REF!</definedName>
    <definedName name="_AtRisk_FitDataRange_FIT_7C184_48ED9" hidden="1">#REF!</definedName>
    <definedName name="_AtRisk_FitDataRange_FIT_819_538C5" hidden="1">#REF!</definedName>
    <definedName name="_AtRisk_FitDataRange_FIT_89E92_3A95F" hidden="1">#REF!</definedName>
    <definedName name="_AtRisk_FitDataRange_FIT_A8D14_273D1" hidden="1">#REF!</definedName>
    <definedName name="_AtRisk_FitDataRange_FIT_AB370_6C441" hidden="1">#REF!</definedName>
    <definedName name="_AtRisk_FitDataRange_FIT_C5E5D_D37CA" hidden="1">#REF!</definedName>
    <definedName name="_AtRisk_FitDataRange_FIT_D4A43_A61BA" hidden="1">#REF!</definedName>
    <definedName name="_AtRisk_FitDataRange_FIT_D8145_250FD" hidden="1">#REF!</definedName>
    <definedName name="_AtRisk_FitDataRange_FIT_DC4D0_7EB56" hidden="1">#REF!</definedName>
    <definedName name="abba" localSheetId="1" hidden="1">{"Ownership",#N/A,FALSE,"Ownership";"Contents",#N/A,FALSE,"Contents"}</definedName>
    <definedName name="abba" localSheetId="2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CRCP_final_year" localSheetId="1">'[1]AER ETL'!$C$47</definedName>
    <definedName name="CRCP_final_year" localSheetId="2">'[1]AER ETL'!$C$47</definedName>
    <definedName name="CRCP_final_year">'[2]AER ETL'!$C$47</definedName>
    <definedName name="CRCP_y1" localSheetId="5">'[2]AER lookups'!$G$45</definedName>
    <definedName name="CRCP_y1" localSheetId="1">'[3]AER lookups'!$G$45</definedName>
    <definedName name="CRCP_y1" localSheetId="2">'[4]AER lookups'!$G$38</definedName>
    <definedName name="CRCP_y1">'[3]AER lookups'!$G$45</definedName>
    <definedName name="CRCP_y10" localSheetId="1">'[1]AER lookups'!$G$47</definedName>
    <definedName name="CRCP_y10" localSheetId="2">'[1]AER lookups'!$G$47</definedName>
    <definedName name="CRCP_y10">'[2]AER lookups'!$G$54</definedName>
    <definedName name="CRCP_y11" localSheetId="1">'[1]AER lookups'!$G$48</definedName>
    <definedName name="CRCP_y11" localSheetId="2">'[1]AER lookups'!$G$48</definedName>
    <definedName name="CRCP_y11">'[2]AER lookups'!$G$55</definedName>
    <definedName name="CRCP_y12" localSheetId="1">'[1]AER lookups'!$G$49</definedName>
    <definedName name="CRCP_y12" localSheetId="2">'[1]AER lookups'!$G$49</definedName>
    <definedName name="CRCP_y12">'[2]AER lookups'!$G$56</definedName>
    <definedName name="CRCP_y13" localSheetId="1">'[1]AER lookups'!$G$50</definedName>
    <definedName name="CRCP_y13" localSheetId="2">'[1]AER lookups'!$G$50</definedName>
    <definedName name="CRCP_y13">'[2]AER lookups'!$G$57</definedName>
    <definedName name="CRCP_y14" localSheetId="1">'[1]AER lookups'!$G$51</definedName>
    <definedName name="CRCP_y14" localSheetId="2">'[1]AER lookups'!$G$51</definedName>
    <definedName name="CRCP_y14">'[2]AER lookups'!$G$58</definedName>
    <definedName name="CRCP_y15" localSheetId="1">'[1]AER lookups'!$G$52</definedName>
    <definedName name="CRCP_y15" localSheetId="2">'[1]AER lookups'!$G$52</definedName>
    <definedName name="CRCP_y15">'[2]AER lookups'!$G$59</definedName>
    <definedName name="CRCP_y2" localSheetId="5">'[2]AER lookups'!$G$46</definedName>
    <definedName name="CRCP_y2" localSheetId="1">'[3]AER lookups'!$G$46</definedName>
    <definedName name="CRCP_y2" localSheetId="2">'[4]AER lookups'!$G$39</definedName>
    <definedName name="CRCP_y2">'[3]AER lookups'!$G$46</definedName>
    <definedName name="CRCP_y3" localSheetId="5">'[2]AER lookups'!$G$47</definedName>
    <definedName name="CRCP_y3" localSheetId="1">'[3]AER lookups'!$G$47</definedName>
    <definedName name="CRCP_y3" localSheetId="2">'[4]AER lookups'!$G$40</definedName>
    <definedName name="CRCP_y3">'[3]AER lookups'!$G$47</definedName>
    <definedName name="CRCP_y4" localSheetId="1">'[1]AER lookups'!$G$41</definedName>
    <definedName name="CRCP_y4" localSheetId="2">'[1]AER lookups'!$G$41</definedName>
    <definedName name="CRCP_y4">'[2]AER lookups'!$G$48</definedName>
    <definedName name="CRCP_y5" localSheetId="1">'[1]AER lookups'!$G$42</definedName>
    <definedName name="CRCP_y5" localSheetId="2">'[1]AER lookups'!$G$42</definedName>
    <definedName name="CRCP_y5">'[2]AER lookups'!$G$49</definedName>
    <definedName name="CRCP_y6" localSheetId="1">'[1]AER lookups'!$G$43</definedName>
    <definedName name="CRCP_y6" localSheetId="2">'[1]AER lookups'!$G$43</definedName>
    <definedName name="CRCP_y6">'[2]AER lookups'!$G$50</definedName>
    <definedName name="CRCP_y7" localSheetId="1">'[1]AER lookups'!$G$44</definedName>
    <definedName name="CRCP_y7" localSheetId="2">'[1]AER lookups'!$G$44</definedName>
    <definedName name="CRCP_y7">'[2]AER lookups'!$G$51</definedName>
    <definedName name="CRCP_y8" localSheetId="1">'[1]AER lookups'!$G$45</definedName>
    <definedName name="CRCP_y8" localSheetId="2">'[1]AER lookups'!$G$45</definedName>
    <definedName name="CRCP_y8">'[2]AER lookups'!$G$52</definedName>
    <definedName name="CRCP_y9" localSheetId="1">'[1]AER lookups'!$G$46</definedName>
    <definedName name="CRCP_y9" localSheetId="2">'[1]AER lookups'!$G$46</definedName>
    <definedName name="CRCP_y9">'[2]AER lookups'!$G$53</definedName>
    <definedName name="dms_020501_mat_labour_Rows" localSheetId="1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_labour_Rows" localSheetId="2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_labour_Rows">'[2]2.5 Connections'!$B$12,'[2]2.5 Connections'!#REF!,'[2]2.5 Connections'!$B$14,'[2]2.5 Connections'!$B$15,'[2]2.5 Connections'!$B$16,'[2]2.5 Connections'!$B$17,'[2]2.5 Connections'!$B$18,'[2]2.5 Connections'!$B$19,'[2]2.5 Connections'!$B$20,'[2]2.5 Connections'!$B$21,'[2]2.5 Connections'!$B$22,'[2]2.5 Connections'!$B$23,'[2]2.5 Connections'!$B$24,'[2]2.5 Connections'!$B$25,'[2]2.5 Connections'!$B$26,'[2]2.5 Connections'!$B$27,'[2]2.5 Connections'!$B$28,'[2]2.5 Connections'!$B$29,'[2]2.5 Connections'!$B$30,'[2]2.5 Connections'!$B$31,'[2]2.5 Connections'!$B$32,'[2]2.5 Connections'!$B$33,'[2]2.5 Connections'!$B$34,'[2]2.5 Connections'!$B$35,'[2]2.5 Connections'!$B$36</definedName>
    <definedName name="dms_020501_materials_Values" localSheetId="1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20501_materials_Values" localSheetId="2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20501_materials_Values">'[2]2.5 Connections'!$C$12:$I$12,'[2]2.5 Connections'!$C$13:$I$13,'[2]2.5 Connections'!$C$14:$I$14,'[2]2.5 Connections'!$C$15:$I$15,'[2]2.5 Connections'!$C$16:$I$16,'[2]2.5 Connections'!$C$17:$I$17,'[2]2.5 Connections'!$C$18:$I$18,'[2]2.5 Connections'!$C$19:$I$19,'[2]2.5 Connections'!$C$20:$I$20,'[2]2.5 Connections'!$C$21:$I$21,'[2]2.5 Connections'!$C$22:$I$22,'[2]2.5 Connections'!$C$23:$I$23,'[2]2.5 Connections'!$C$24:$I$24,'[2]2.5 Connections'!$C$25:$I$25,'[2]2.5 Connections'!$C$26:$I$26,'[2]2.5 Connections'!$C$27:$I$27,'[2]2.5 Connections'!$C$28:$I$28,'[2]2.5 Connections'!$C$29:$I$29,'[2]2.5 Connections'!$C$30:$I$30</definedName>
    <definedName name="dms_060301_checkvalue" localSheetId="1">'[1]AER ETL'!$C$90</definedName>
    <definedName name="dms_060301_checkvalue" localSheetId="2">'[1]AER ETL'!$C$90</definedName>
    <definedName name="dms_060301_checkvalue">'[2]AER ETL'!$C$90</definedName>
    <definedName name="dms_060301_LastRow" localSheetId="1">'[1]AER ETL'!$C$92</definedName>
    <definedName name="dms_060301_LastRow" localSheetId="2">'[1]AER ETL'!$C$92</definedName>
    <definedName name="dms_060301_LastRow">'[2]AER ETL'!$C$92</definedName>
    <definedName name="dms_060701_ARR_MaxRows" localSheetId="1">'[1]AER ETL'!$C$100</definedName>
    <definedName name="dms_060701_ARR_MaxRows" localSheetId="2">'[1]AER ETL'!$C$100</definedName>
    <definedName name="dms_060701_ARR_MaxRows">'[2]AER ETL'!$C$100</definedName>
    <definedName name="dms_060701_Reset_MaxRows" localSheetId="1">'[1]AER ETL'!$C$99</definedName>
    <definedName name="dms_060701_Reset_MaxRows" localSheetId="2">'[1]AER ETL'!$C$99</definedName>
    <definedName name="dms_060701_Reset_MaxRows">'[2]AER ETL'!$C$99</definedName>
    <definedName name="dms_060701_StartDateTxt" localSheetId="1">'[1]AER ETL'!$C$106</definedName>
    <definedName name="dms_060701_StartDateTxt" localSheetId="2">'[1]AER ETL'!$C$106</definedName>
    <definedName name="dms_060701_StartDateTxt">'[2]AER ETL'!$C$106</definedName>
    <definedName name="dms_0608_LastRow" localSheetId="1">'[1]AER ETL'!$C$112</definedName>
    <definedName name="dms_0608_LastRow" localSheetId="2">'[1]AER ETL'!$C$112</definedName>
    <definedName name="dms_0608_LastRow">'[2]AER ETL'!$C$112</definedName>
    <definedName name="dms_0608_OffsetRows" localSheetId="1">'[1]AER ETL'!$C$111</definedName>
    <definedName name="dms_0608_OffsetRows" localSheetId="2">'[1]AER ETL'!$C$111</definedName>
    <definedName name="dms_0608_OffsetRows">'[2]AER ETL'!$C$111</definedName>
    <definedName name="dms_070901_01_Cap_Values" localSheetId="1">#REF!</definedName>
    <definedName name="dms_070901_01_Cap_Values" localSheetId="2">#REF!</definedName>
    <definedName name="dms_070901_01_Cap_Values">#REF!</definedName>
    <definedName name="dms_070901_01_Collar_Values" localSheetId="1">#REF!</definedName>
    <definedName name="dms_070901_01_Collar_Values" localSheetId="2">#REF!</definedName>
    <definedName name="dms_070901_01_Collar_Values">#REF!</definedName>
    <definedName name="dms_070901_01_Rows" localSheetId="1">#REF!</definedName>
    <definedName name="dms_070901_01_Rows" localSheetId="2">#REF!</definedName>
    <definedName name="dms_070901_01_Rows">#REF!</definedName>
    <definedName name="dms_070901_01_Target_Values">#REF!</definedName>
    <definedName name="dms_070901_01_Values">#REF!</definedName>
    <definedName name="dms_070901_02_Cap_Values">#REF!</definedName>
    <definedName name="dms_070901_02_Collar_Values">#REF!</definedName>
    <definedName name="dms_070901_02_Rows">#REF!</definedName>
    <definedName name="dms_070901_02_Target_Values">#REF!</definedName>
    <definedName name="dms_070901_02_Values">#REF!</definedName>
    <definedName name="dms_070901_03_Cap_Values">#REF!</definedName>
    <definedName name="dms_070901_03_Collar_Values">#REF!</definedName>
    <definedName name="dms_070901_03_Rows">#REF!</definedName>
    <definedName name="dms_070901_03_Target_Values">#REF!</definedName>
    <definedName name="dms_070901_03_Values">#REF!</definedName>
    <definedName name="dms_070901_04_Cap_Values">#REF!</definedName>
    <definedName name="dms_070901_04_Collar_Values">#REF!</definedName>
    <definedName name="dms_070901_04_Rows">#REF!</definedName>
    <definedName name="dms_070901_04_Target_Values">#REF!</definedName>
    <definedName name="dms_070901_04_Values">#REF!</definedName>
    <definedName name="dms_663_List" localSheetId="1">'[1]AER lookups'!$N$16:$N$17</definedName>
    <definedName name="dms_663_List" localSheetId="2">'[1]AER lookups'!$N$16:$N$17</definedName>
    <definedName name="dms_663_List">'[2]AER lookups'!$N$16:$N$24</definedName>
    <definedName name="dms_ABN_List" localSheetId="1">'[1]AER lookups'!$D$16:$D$17</definedName>
    <definedName name="dms_ABN_List" localSheetId="2">'[1]AER lookups'!$D$16:$D$17</definedName>
    <definedName name="dms_ABN_List">'[2]AER lookups'!$D$16:$D$24</definedName>
    <definedName name="dms_Addr1_List" localSheetId="1">'[1]AER lookups'!$P$16:$P$17</definedName>
    <definedName name="dms_Addr1_List" localSheetId="2">'[1]AER lookups'!$P$16:$P$17</definedName>
    <definedName name="dms_Addr1_List">'[2]AER lookups'!$P$16:$P$24</definedName>
    <definedName name="dms_Addr2_List" localSheetId="1">'[1]AER lookups'!$Q$16:$Q$17</definedName>
    <definedName name="dms_Addr2_List" localSheetId="2">'[1]AER lookups'!$Q$16:$Q$17</definedName>
    <definedName name="dms_Addr2_List">'[2]AER lookups'!$Q$16:$Q$24</definedName>
    <definedName name="dms_Amendment_Text" localSheetId="1">'[1]Business &amp; other details'!$AL$70</definedName>
    <definedName name="dms_Amendment_Text" localSheetId="2">'[1]Business &amp; other details'!$AL$70</definedName>
    <definedName name="dms_Amendment_Text">'[2]Business &amp; other details'!$AL$70</definedName>
    <definedName name="dms_BaseStepTrend" localSheetId="1">'[1]2.16 Opex Summary'!$M$7</definedName>
    <definedName name="dms_BaseStepTrend" localSheetId="2">'[1]2.16 Opex Summary'!$M$7</definedName>
    <definedName name="dms_BaseStepTrend">'[2]2.16 Opex Summary'!$M$7</definedName>
    <definedName name="dms_BaseYear_Choice" localSheetId="1">'[1]2.16 Opex Summary'!$M$9</definedName>
    <definedName name="dms_BaseYear_Choice" localSheetId="2">'[1]2.16 Opex Summary'!$M$9</definedName>
    <definedName name="dms_BaseYear_Choice">'[2]2.16 Opex Summary'!$M$9</definedName>
    <definedName name="dms_BaseYear_List" localSheetId="1">'[1]2.16 Opex Summary'!$C$13:$G$13</definedName>
    <definedName name="dms_BaseYear_List" localSheetId="2">'[1]2.16 Opex Summary'!$C$13:$G$13</definedName>
    <definedName name="dms_BaseYear_List">'[2]2.16 Opex Summary'!$C$13:$G$13</definedName>
    <definedName name="dms_Cal_Year_B4_CRY" localSheetId="1">'[1]AER ETL'!$C$29</definedName>
    <definedName name="dms_Cal_Year_B4_CRY" localSheetId="2">'[1]AER ETL'!$C$29</definedName>
    <definedName name="dms_Cal_Year_B4_CRY">'[2]AER ETL'!$C$29</definedName>
    <definedName name="dms_CBD_flag" localSheetId="1">'[1]AER lookups'!$Z$16:$Z$17</definedName>
    <definedName name="dms_CBD_flag" localSheetId="2">'[1]AER lookups'!$Z$16:$Z$17</definedName>
    <definedName name="dms_CBD_flag">'[2]AER lookups'!$Z$16:$Z$24</definedName>
    <definedName name="dms_CF_8.1_Neg" localSheetId="1">'[1]AER CF'!$U$7:$U$34</definedName>
    <definedName name="dms_CF_8.1_Neg" localSheetId="2">'[1]AER CF'!$U$7:$U$34</definedName>
    <definedName name="dms_CF_8.1_Neg">'[2]AER CF'!$U$7:$U$34</definedName>
    <definedName name="dms_CF_TradingName" localSheetId="1">'[1]AER CF'!$B$7:$B$34</definedName>
    <definedName name="dms_CF_TradingName" localSheetId="2">'[1]AER CF'!$B$7:$B$34</definedName>
    <definedName name="dms_CF_TradingName">'[2]AER CF'!$B$7:$B$34</definedName>
    <definedName name="dms_Confid_status_List" localSheetId="1">'[1]AER NRs'!$D$6:$D$8</definedName>
    <definedName name="dms_Confid_status_List" localSheetId="2">'[1]AER NRs'!$D$6:$D$8</definedName>
    <definedName name="dms_Confid_status_List">'[2]AER NRs'!$D$6:$D$8</definedName>
    <definedName name="dms_CRCP_start_row" localSheetId="1">'[1]AER ETL'!$C$40</definedName>
    <definedName name="dms_CRCP_start_row" localSheetId="2">'[1]AER ETL'!$C$40</definedName>
    <definedName name="dms_CRCP_start_row">'[2]AER ETL'!$C$40</definedName>
    <definedName name="dms_CRCPlength_List" localSheetId="1">'[1]AER lookups'!$K$16:$K$17</definedName>
    <definedName name="dms_CRCPlength_List" localSheetId="2">'[1]AER lookups'!$K$16:$K$17</definedName>
    <definedName name="dms_CRCPlength_List">'[2]AER lookups'!$K$16:$K$24</definedName>
    <definedName name="dms_CRCPlength_Num" localSheetId="1">'[1]AER ETL'!$C$69</definedName>
    <definedName name="dms_CRCPlength_Num" localSheetId="2">'[1]AER ETL'!$C$69</definedName>
    <definedName name="dms_CRCPlength_Num">'[2]AER ETL'!$C$69</definedName>
    <definedName name="dms_CRY_RYE" localSheetId="1">'[1]AER ETL'!$C$53</definedName>
    <definedName name="dms_CRY_RYE" localSheetId="2">'[1]AER ETL'!$C$53</definedName>
    <definedName name="dms_CRY_RYE">'[2]AER ETL'!$C$53</definedName>
    <definedName name="dms_CRY_start_row" localSheetId="1">'[1]AER ETL'!$C$38</definedName>
    <definedName name="dms_CRY_start_row" localSheetId="2">'[1]AER ETL'!$C$38</definedName>
    <definedName name="dms_CRY_start_row">'[2]AER ETL'!$C$38</definedName>
    <definedName name="dms_CRY_start_year" localSheetId="1">'[1]AER ETL'!$C$37</definedName>
    <definedName name="dms_CRY_start_year" localSheetId="2">'[1]AER ETL'!$C$37</definedName>
    <definedName name="dms_CRY_start_year">'[2]AER ETL'!$C$37</definedName>
    <definedName name="dms_DataQuality_List" localSheetId="1">'[1]AER NRs'!$C$6:$C$9</definedName>
    <definedName name="dms_DataQuality_List" localSheetId="2">'[1]AER NRs'!$C$6:$C$9</definedName>
    <definedName name="dms_DataQuality_List">'[2]AER NRs'!$C$6:$C$9</definedName>
    <definedName name="dms_DeterminationRef_List" localSheetId="1">'[1]AER lookups'!$O$16:$O$17</definedName>
    <definedName name="dms_DeterminationRef_List" localSheetId="2">'[1]AER lookups'!$O$16:$O$17</definedName>
    <definedName name="dms_DeterminationRef_List">'[2]AER lookups'!$O$16:$O$24</definedName>
    <definedName name="dms_DollarReal" localSheetId="1">'[1]AER ETL'!$C$31</definedName>
    <definedName name="dms_DollarReal" localSheetId="2">'[1]AER ETL'!$C$31</definedName>
    <definedName name="dms_DollarReal">'[2]AER ETL'!$C$31</definedName>
    <definedName name="dms_DollarReal_year" localSheetId="1">'[1]AER ETL'!$C$51</definedName>
    <definedName name="dms_DollarReal_year" localSheetId="2">'[1]AER ETL'!$C$51</definedName>
    <definedName name="dms_DollarReal_year">'[2]AER ETL'!$C$51</definedName>
    <definedName name="dms_FeederName_1" localSheetId="1">'[1]AER lookups'!$AE$16:$AE$17</definedName>
    <definedName name="dms_FeederName_1" localSheetId="2">'[1]AER lookups'!$AE$16:$AE$17</definedName>
    <definedName name="dms_FeederName_1">'[2]AER lookups'!$AE$16:$AE$24</definedName>
    <definedName name="dms_FeederName_2" localSheetId="1">'[1]AER lookups'!$AF$16:$AF$17</definedName>
    <definedName name="dms_FeederName_2" localSheetId="2">'[1]AER lookups'!$AF$16:$AF$17</definedName>
    <definedName name="dms_FeederName_2">'[2]AER lookups'!$AF$16:$AF$24</definedName>
    <definedName name="dms_FeederName_3" localSheetId="1">'[1]AER lookups'!$AG$16:$AG$17</definedName>
    <definedName name="dms_FeederName_3" localSheetId="2">'[1]AER lookups'!$AG$16:$AG$17</definedName>
    <definedName name="dms_FeederName_3">'[2]AER lookups'!$AG$16:$AG$24</definedName>
    <definedName name="dms_FeederName_4" localSheetId="1">'[1]AER lookups'!$AH$16:$AH$17</definedName>
    <definedName name="dms_FeederName_4" localSheetId="2">'[1]AER lookups'!$AH$16:$AH$17</definedName>
    <definedName name="dms_FeederName_4">'[2]AER lookups'!$AH$16:$AH$24</definedName>
    <definedName name="dms_FeederName_5" localSheetId="1">'[1]AER lookups'!$AI$16:$AI$17</definedName>
    <definedName name="dms_FeederName_5" localSheetId="2">'[1]AER lookups'!$AI$16:$AI$17</definedName>
    <definedName name="dms_FeederName_5">'[2]AER lookups'!$AI$16:$AI$24</definedName>
    <definedName name="dms_FeederType_5_flag" localSheetId="1">'[1]AER lookups'!$AD$16:$AD$17</definedName>
    <definedName name="dms_FeederType_5_flag" localSheetId="2">'[1]AER lookups'!$AD$16:$AD$17</definedName>
    <definedName name="dms_FeederType_5_flag">'[2]AER lookups'!$AD$16:$AD$24</definedName>
    <definedName name="dms_FifthFeeder_flag_NSP" localSheetId="1">'[1]AER ETL'!$C$125</definedName>
    <definedName name="dms_FifthFeeder_flag_NSP" localSheetId="2">'[1]AER ETL'!$C$125</definedName>
    <definedName name="dms_FifthFeeder_flag_NSP">'[2]AER ETL'!$C$125</definedName>
    <definedName name="dms_FormControl_List" localSheetId="1">'[1]AER lookups'!$H$16:$H$17</definedName>
    <definedName name="dms_FormControl_List" localSheetId="2">'[1]AER lookups'!$H$16:$H$17</definedName>
    <definedName name="dms_FormControl_List">'[2]AER lookups'!$H$16:$H$24</definedName>
    <definedName name="dms_FRCP_start_row" localSheetId="1">'[1]AER ETL'!$C$39</definedName>
    <definedName name="dms_FRCP_start_row" localSheetId="2">'[1]AER ETL'!$C$39</definedName>
    <definedName name="dms_FRCP_start_row">'[2]AER ETL'!$C$39</definedName>
    <definedName name="dms_FRCPlength_List" localSheetId="1">'[1]AER lookups'!$L$16:$L$17</definedName>
    <definedName name="dms_FRCPlength_List" localSheetId="2">'[1]AER lookups'!$L$16:$L$17</definedName>
    <definedName name="dms_FRCPlength_List">'[2]AER lookups'!$L$16:$L$24</definedName>
    <definedName name="dms_FRCPlength_Num" localSheetId="1">'[1]AER ETL'!$C$70</definedName>
    <definedName name="dms_FRCPlength_Num" localSheetId="2">'[1]AER ETL'!$C$70</definedName>
    <definedName name="dms_FRCPlength_Num">'[2]AER ETL'!$C$70</definedName>
    <definedName name="dms_Header_Span" localSheetId="1">'[1]AER ETL'!$C$60</definedName>
    <definedName name="dms_Header_Span" localSheetId="2">'[1]AER ETL'!$C$60</definedName>
    <definedName name="dms_Header_Span">'[2]AER ETL'!$C$60</definedName>
    <definedName name="dms_JurisdictionList" localSheetId="1">'[1]AER lookups'!$E$16:$E$17</definedName>
    <definedName name="dms_JurisdictionList" localSheetId="2">'[1]AER lookups'!$E$16:$E$17</definedName>
    <definedName name="dms_JurisdictionList">'[2]AER lookups'!$E$16:$E$24</definedName>
    <definedName name="dms_LeapYear_Result" localSheetId="1">'[1]AER ETL'!$C$98</definedName>
    <definedName name="dms_LeapYear_Result" localSheetId="2">'[1]AER ETL'!$C$98</definedName>
    <definedName name="dms_LeapYear_Result">'[2]AER ETL'!$C$98</definedName>
    <definedName name="dms_LongRural_flag" localSheetId="1">'[1]AER lookups'!$AC$16:$AC$17</definedName>
    <definedName name="dms_LongRural_flag" localSheetId="2">'[1]AER lookups'!$AC$16:$AC$17</definedName>
    <definedName name="dms_LongRural_flag">'[2]AER lookups'!$AC$16:$AC$24</definedName>
    <definedName name="dms_Model" localSheetId="1">'[1]AER ETL'!$C$11</definedName>
    <definedName name="dms_Model" localSheetId="2">'[1]AER ETL'!$C$11</definedName>
    <definedName name="dms_Model">'[2]AER ETL'!$C$11</definedName>
    <definedName name="dms_Model_List" localSheetId="1">'[1]AER lookups'!$B$24:$B$33</definedName>
    <definedName name="dms_Model_List" localSheetId="2">'[1]AER lookups'!$B$24:$B$33</definedName>
    <definedName name="dms_Model_List">'[2]AER lookups'!$B$31:$B$40</definedName>
    <definedName name="dms_Model_Span" localSheetId="1">'[1]AER ETL'!$C$56</definedName>
    <definedName name="dms_Model_Span" localSheetId="2">'[1]AER ETL'!$C$56</definedName>
    <definedName name="dms_Model_Span">'[2]AER ETL'!$C$56</definedName>
    <definedName name="dms_Model_Span_List" localSheetId="1">'[1]AER lookups'!$E$24:$E$33</definedName>
    <definedName name="dms_Model_Span_List" localSheetId="2">'[1]AER lookups'!$E$24:$E$33</definedName>
    <definedName name="dms_Model_Span_List">'[2]AER lookups'!$E$31:$E$40</definedName>
    <definedName name="dms_MultiYear_FinalYear_Result" localSheetId="1">'[1]AER ETL'!$C$80</definedName>
    <definedName name="dms_MultiYear_FinalYear_Result" localSheetId="2">'[1]AER ETL'!$C$80</definedName>
    <definedName name="dms_MultiYear_FinalYear_Result">'[2]AER ETL'!$C$80</definedName>
    <definedName name="dms_MultiYear_Flag" localSheetId="1">'[1]AER ETL'!$C$63</definedName>
    <definedName name="dms_MultiYear_Flag" localSheetId="2">'[1]AER ETL'!$C$63</definedName>
    <definedName name="dms_MultiYear_Flag">'[2]AER ETL'!$C$63</definedName>
    <definedName name="dms_MultiYear_ResponseFlag" localSheetId="1">'[1]AER ETL'!$C$62</definedName>
    <definedName name="dms_MultiYear_ResponseFlag" localSheetId="2">'[1]AER ETL'!$C$62</definedName>
    <definedName name="dms_MultiYear_ResponseFlag">'[2]AER ETL'!$C$62</definedName>
    <definedName name="dms_PAddr1_List" localSheetId="1">'[1]AER lookups'!$U$16:$U$17</definedName>
    <definedName name="dms_PAddr1_List" localSheetId="2">'[1]AER lookups'!$U$16:$U$17</definedName>
    <definedName name="dms_PAddr1_List">'[2]AER lookups'!$U$16:$U$24</definedName>
    <definedName name="dms_PAddr2_List" localSheetId="1">'[1]AER lookups'!$V$16:$V$17</definedName>
    <definedName name="dms_PAddr2_List" localSheetId="2">'[1]AER lookups'!$V$16:$V$17</definedName>
    <definedName name="dms_PAddr2_List">'[2]AER lookups'!$V$16:$V$24</definedName>
    <definedName name="dms_PRCP_start_row" localSheetId="1">'[1]AER ETL'!$C$41</definedName>
    <definedName name="dms_PRCP_start_row" localSheetId="2">'[1]AER ETL'!$C$41</definedName>
    <definedName name="dms_PRCP_start_row">'[2]AER ETL'!$C$41</definedName>
    <definedName name="dms_PRCPlength_List" localSheetId="1">'[1]AER lookups'!$M$16:$M$17</definedName>
    <definedName name="dms_PRCPlength_List" localSheetId="2">'[1]AER lookups'!$M$16:$M$17</definedName>
    <definedName name="dms_PRCPlength_List">'[2]AER lookups'!$M$16:$M$24</definedName>
    <definedName name="dms_PRCPlength_Num" localSheetId="1">'[1]AER ETL'!$C$68</definedName>
    <definedName name="dms_PRCPlength_Num" localSheetId="2">'[1]AER ETL'!$C$68</definedName>
    <definedName name="dms_PRCPlength_Num">'[2]AER ETL'!$C$68</definedName>
    <definedName name="dms_Previous_DollarReal_year" localSheetId="1">'[1]AER ETL'!$C$52</definedName>
    <definedName name="dms_Previous_DollarReal_year" localSheetId="2">'[1]AER ETL'!$C$52</definedName>
    <definedName name="dms_Previous_DollarReal_year">'[2]AER ETL'!$C$52</definedName>
    <definedName name="dms_PState_List" localSheetId="1">'[1]AER lookups'!$X$16:$X$17</definedName>
    <definedName name="dms_PState_List" localSheetId="2">'[1]AER lookups'!$X$16:$X$17</definedName>
    <definedName name="dms_PState_List">'[2]AER lookups'!$X$16:$X$24</definedName>
    <definedName name="dms_PSuburb_List" localSheetId="1">'[1]AER lookups'!$W$16:$W$17</definedName>
    <definedName name="dms_PSuburb_List" localSheetId="2">'[1]AER lookups'!$W$16:$W$17</definedName>
    <definedName name="dms_PSuburb_List">'[2]AER lookups'!$W$16:$W$24</definedName>
    <definedName name="dms_Public_Lighting_List" localSheetId="1">'[1]AER lookups'!$AJ$16:$AJ$17</definedName>
    <definedName name="dms_Public_Lighting_List" localSheetId="2">'[1]AER lookups'!$AJ$16:$AJ$17</definedName>
    <definedName name="dms_Public_Lighting_List">'[2]AER lookups'!$AJ$16:$AJ$24</definedName>
    <definedName name="dms_Reset_final_year" localSheetId="1">'[1]AER ETL'!$C$49</definedName>
    <definedName name="dms_Reset_final_year" localSheetId="2">'[1]AER ETL'!$C$49</definedName>
    <definedName name="dms_Reset_final_year">'[2]AER ETL'!$C$49</definedName>
    <definedName name="dms_Reset_RYE" localSheetId="1">'[1]AER ETL'!$C$54</definedName>
    <definedName name="dms_Reset_RYE" localSheetId="2">'[1]AER ETL'!$C$54</definedName>
    <definedName name="dms_Reset_RYE">'[2]AER ETL'!$C$54</definedName>
    <definedName name="dms_RPT" localSheetId="1">'[1]AER ETL'!$C$23</definedName>
    <definedName name="dms_RPT" localSheetId="2">'[1]AER ETL'!$C$23</definedName>
    <definedName name="dms_RPT">'[2]AER ETL'!$C$23</definedName>
    <definedName name="dms_RPT_List" localSheetId="1">'[1]AER lookups'!$I$16:$I$17</definedName>
    <definedName name="dms_RPT_List" localSheetId="2">'[1]AER lookups'!$I$16:$I$17</definedName>
    <definedName name="dms_RPT_List">'[2]AER lookups'!$I$16:$I$24</definedName>
    <definedName name="dms_RPTMonth" localSheetId="1">'[1]AER ETL'!$C$30</definedName>
    <definedName name="dms_RPTMonth" localSheetId="2">'[1]AER ETL'!$C$30</definedName>
    <definedName name="dms_RPTMonth">'[2]AER ETL'!$C$30</definedName>
    <definedName name="dms_RPTMonth_List" localSheetId="1">'[1]AER lookups'!$J$16:$J$17</definedName>
    <definedName name="dms_RPTMonth_List" localSheetId="2">'[1]AER lookups'!$J$16:$J$17</definedName>
    <definedName name="dms_RPTMonth_List">'[2]AER lookups'!$J$16:$J$24</definedName>
    <definedName name="dms_RYE_result" localSheetId="1">'[1]AER ETL'!$C$57</definedName>
    <definedName name="dms_RYE_result" localSheetId="2">'[1]AER ETL'!$C$57</definedName>
    <definedName name="dms_RYE_result">'[2]AER ETL'!$C$57</definedName>
    <definedName name="dms_RYE_start_row" localSheetId="1">'[1]AER ETL'!$C$42</definedName>
    <definedName name="dms_RYE_start_row" localSheetId="2">'[1]AER ETL'!$C$42</definedName>
    <definedName name="dms_RYE_start_row">'[2]AER ETL'!$C$42</definedName>
    <definedName name="dms_Sector" localSheetId="1">'[1]AER ETL'!$C$20</definedName>
    <definedName name="dms_Sector" localSheetId="2">'[1]AER ETL'!$C$20</definedName>
    <definedName name="dms_Sector">'[2]AER ETL'!$C$20</definedName>
    <definedName name="dms_Sector_List" localSheetId="1">'[1]AER lookups'!$F$16:$F$17</definedName>
    <definedName name="dms_Sector_List" localSheetId="2">'[1]AER lookups'!$F$16:$F$17</definedName>
    <definedName name="dms_Sector_List">'[2]AER lookups'!$F$16:$F$24</definedName>
    <definedName name="dms_Segment" localSheetId="1">'[1]AER ETL'!$C$21</definedName>
    <definedName name="dms_Segment" localSheetId="2">'[1]AER ETL'!$C$21</definedName>
    <definedName name="dms_Segment">'[2]AER ETL'!$C$21</definedName>
    <definedName name="dms_Segment_List" localSheetId="1">'[1]AER lookups'!$G$16:$G$17</definedName>
    <definedName name="dms_Segment_List" localSheetId="2">'[1]AER lookups'!$G$16:$G$17</definedName>
    <definedName name="dms_Segment_List">'[2]AER lookups'!$G$16:$G$24</definedName>
    <definedName name="dms_ShortRural_flag" localSheetId="1">'[1]AER lookups'!$AB$16:$AB$17</definedName>
    <definedName name="dms_ShortRural_flag" localSheetId="2">'[1]AER lookups'!$AB$16:$AB$17</definedName>
    <definedName name="dms_ShortRural_flag">'[2]AER lookups'!$AB$16:$AB$24</definedName>
    <definedName name="dms_SingleYear_Model" localSheetId="1">'[1]AER ETL'!$C$72:$C$74</definedName>
    <definedName name="dms_SingleYear_Model" localSheetId="2">'[1]AER ETL'!$C$72:$C$74</definedName>
    <definedName name="dms_SingleYear_Model">'[2]AER ETL'!$C$72:$C$74</definedName>
    <definedName name="dms_SingleYearModel" localSheetId="1">'[1]AER ETL'!$C$75</definedName>
    <definedName name="dms_SingleYearModel" localSheetId="2">'[1]AER ETL'!$C$75</definedName>
    <definedName name="dms_SingleYearModel">'[2]AER ETL'!$C$75</definedName>
    <definedName name="dms_SourceList" localSheetId="1">'[1]AER NRs'!$C$14:$C$28</definedName>
    <definedName name="dms_SourceList" localSheetId="2">'[1]AER NRs'!$C$14:$C$28</definedName>
    <definedName name="dms_SourceList">'[2]AER NRs'!$C$14:$C$28</definedName>
    <definedName name="dms_Specified_FinalYear" localSheetId="1">'[1]AER ETL'!$C$64</definedName>
    <definedName name="dms_Specified_FinalYear" localSheetId="2">'[1]AER ETL'!$C$64</definedName>
    <definedName name="dms_Specified_FinalYear">'[2]AER ETL'!$C$64</definedName>
    <definedName name="dms_Specified_RYE" localSheetId="1">'[1]AER ETL'!$C$55</definedName>
    <definedName name="dms_Specified_RYE" localSheetId="2">'[1]AER ETL'!$C$55</definedName>
    <definedName name="dms_Specified_RYE">'[2]AER ETL'!$C$55</definedName>
    <definedName name="dms_SpecifiedYear_Span" localSheetId="1">'[1]AER ETL'!$C$59</definedName>
    <definedName name="dms_SpecifiedYear_Span" localSheetId="2">'[1]AER ETL'!$C$59</definedName>
    <definedName name="dms_SpecifiedYear_Span">'[2]AER ETL'!$C$59</definedName>
    <definedName name="dms_start_year" localSheetId="1">'[1]AER ETL'!$C$36</definedName>
    <definedName name="dms_start_year" localSheetId="2">'[1]AER ETL'!$C$36</definedName>
    <definedName name="dms_start_year">'[2]AER ETL'!$C$36</definedName>
    <definedName name="dms_State_List" localSheetId="1">'[1]AER lookups'!$S$16:$S$17</definedName>
    <definedName name="dms_State_List" localSheetId="2">'[1]AER lookups'!$S$16:$S$17</definedName>
    <definedName name="dms_State_List">'[2]AER lookups'!$S$16:$S$24</definedName>
    <definedName name="dms_STPIS_Detail">'[5]6'!$O$15:$O$37</definedName>
    <definedName name="dms_STPIS_Reasons">'[5]6'!$P$17:$P$30</definedName>
    <definedName name="dms_Suburb_List" localSheetId="1">'[1]AER lookups'!$R$16:$R$17</definedName>
    <definedName name="dms_Suburb_List" localSheetId="2">'[1]AER lookups'!$R$16:$R$17</definedName>
    <definedName name="dms_Suburb_List">'[2]AER lookups'!$R$16:$R$24</definedName>
    <definedName name="dms_TNSP_020301_ProjectType">'[2]AER NRs'!$D$66:$D$69</definedName>
    <definedName name="dms_TNSP_020302_ProjectType">'[2]AER NRs'!$F$66:$F$78</definedName>
    <definedName name="dms_TradingName" localSheetId="1">'[1]Business &amp; other details'!$AL$16</definedName>
    <definedName name="dms_TradingName" localSheetId="2">'[1]Business &amp; other details'!$AL$16</definedName>
    <definedName name="dms_TradingName">'[2]Business &amp; other details'!$AL$16</definedName>
    <definedName name="dms_TradingName_List" localSheetId="1">'[1]AER lookups'!$B$16:$B$17</definedName>
    <definedName name="dms_TradingName_List" localSheetId="2">'[1]AER lookups'!$B$16:$B$17</definedName>
    <definedName name="dms_TradingName_List">'[2]AER lookups'!$B$16:$B$24</definedName>
    <definedName name="dms_TradingNameFull" localSheetId="1">'[1]AER ETL'!$C$9</definedName>
    <definedName name="dms_TradingNameFull" localSheetId="2">'[1]AER ETL'!$C$9</definedName>
    <definedName name="dms_TradingNameFull">'[2]AER ETL'!$C$9</definedName>
    <definedName name="dms_TradingNameFull_List" localSheetId="1">'[1]AER lookups'!$C$16:$C$17</definedName>
    <definedName name="dms_TradingNameFull_List" localSheetId="2">'[1]AER lookups'!$C$16:$C$17</definedName>
    <definedName name="dms_TradingNameFull_List">'[2]AER lookups'!$C$16:$C$24</definedName>
    <definedName name="dms_Typed_Submission_Date" localSheetId="1">'[1]Business &amp; other details'!$AL$74</definedName>
    <definedName name="dms_Typed_Submission_Date" localSheetId="2">'[1]Business &amp; other details'!$AL$74</definedName>
    <definedName name="dms_Typed_Submission_Date">'[2]Business &amp; other details'!$AL$74</definedName>
    <definedName name="dms_Urban_flag" localSheetId="1">'[1]AER lookups'!$AA$16:$AA$17</definedName>
    <definedName name="dms_Urban_flag" localSheetId="2">'[1]AER lookups'!$AA$16:$AA$17</definedName>
    <definedName name="dms_Urban_flag">'[2]AER lookups'!$AA$16:$AA$24</definedName>
    <definedName name="dms_Worksheet_List" localSheetId="1">'[1]AER lookups'!$D$24:$D$33</definedName>
    <definedName name="dms_Worksheet_List" localSheetId="2">'[1]AER lookups'!$D$24:$D$33</definedName>
    <definedName name="dms_Worksheet_List">'[2]AER lookups'!$D$31:$D$40</definedName>
    <definedName name="dms_y1" localSheetId="1">'[1]AER lookups'!$E$57</definedName>
    <definedName name="dms_y1" localSheetId="2">'[1]AER lookups'!$E$57</definedName>
    <definedName name="dms_y1">'[2]AER lookups'!$E$64</definedName>
    <definedName name="dms_y2" localSheetId="1">'[1]AER lookups'!$E$58</definedName>
    <definedName name="dms_y2" localSheetId="2">'[1]AER lookups'!$E$58</definedName>
    <definedName name="dms_y2">'[2]AER lookups'!$E$65</definedName>
    <definedName name="dms_y3" localSheetId="1">'[1]AER lookups'!$E$59</definedName>
    <definedName name="dms_y3" localSheetId="2">'[1]AER lookups'!$E$59</definedName>
    <definedName name="dms_y3">'[2]AER lookups'!$E$66</definedName>
    <definedName name="dms_y4" localSheetId="1">'[1]AER lookups'!$E$60</definedName>
    <definedName name="dms_y4" localSheetId="2">'[1]AER lookups'!$E$60</definedName>
    <definedName name="dms_y4">'[2]AER lookups'!$E$67</definedName>
    <definedName name="dms_y5" localSheetId="1">'[1]AER lookups'!$E$61</definedName>
    <definedName name="dms_y5" localSheetId="2">'[1]AER lookups'!$E$61</definedName>
    <definedName name="dms_y5">'[2]AER lookups'!$E$68</definedName>
    <definedName name="dms_y6" localSheetId="1">'[1]AER lookups'!$E$62</definedName>
    <definedName name="dms_y6" localSheetId="2">'[1]AER lookups'!$E$62</definedName>
    <definedName name="dms_y6">'[2]AER lookups'!$E$69</definedName>
    <definedName name="dms_y7" localSheetId="1">'[1]AER lookups'!$E$63</definedName>
    <definedName name="dms_y7" localSheetId="2">'[1]AER lookups'!$E$63</definedName>
    <definedName name="dms_y7">'[2]AER lookups'!$E$70</definedName>
    <definedName name="FRCP_final_year" localSheetId="1">'[1]AER ETL'!$C$46</definedName>
    <definedName name="FRCP_final_year" localSheetId="2">'[1]AER ETL'!$C$46</definedName>
    <definedName name="FRCP_final_year">'[2]AER ETL'!$C$46</definedName>
    <definedName name="FRCP_y1" localSheetId="1">'[1]Business &amp; other details'!$AL$42</definedName>
    <definedName name="FRCP_y1" localSheetId="2">'[1]Business &amp; other details'!$AL$42</definedName>
    <definedName name="FRCP_y1">'[2]Business &amp; other details'!$AL$42</definedName>
    <definedName name="FRCP_y10" localSheetId="1">'[1]AER lookups'!$I$47</definedName>
    <definedName name="FRCP_y10" localSheetId="2">'[1]AER lookups'!$I$47</definedName>
    <definedName name="FRCP_y10">'[2]AER lookups'!$I$54</definedName>
    <definedName name="FRCP_y11" localSheetId="1">'[1]AER lookups'!$I$48</definedName>
    <definedName name="FRCP_y11" localSheetId="2">'[1]AER lookups'!$I$48</definedName>
    <definedName name="FRCP_y11">'[2]AER lookups'!$I$55</definedName>
    <definedName name="FRCP_y12" localSheetId="1">'[1]AER lookups'!$I$49</definedName>
    <definedName name="FRCP_y12" localSheetId="2">'[1]AER lookups'!$I$49</definedName>
    <definedName name="FRCP_y12">'[2]AER lookups'!$I$56</definedName>
    <definedName name="FRCP_y13" localSheetId="1">'[1]AER lookups'!$I$50</definedName>
    <definedName name="FRCP_y13" localSheetId="2">'[1]AER lookups'!$I$50</definedName>
    <definedName name="FRCP_y13">'[2]AER lookups'!$I$57</definedName>
    <definedName name="FRCP_y14" localSheetId="1">'[1]AER lookups'!$I$51</definedName>
    <definedName name="FRCP_y14" localSheetId="2">'[1]AER lookups'!$I$51</definedName>
    <definedName name="FRCP_y14">'[2]AER lookups'!$I$58</definedName>
    <definedName name="FRCP_y15" localSheetId="1">'[1]AER lookups'!$I$52</definedName>
    <definedName name="FRCP_y15" localSheetId="2">'[1]AER lookups'!$I$52</definedName>
    <definedName name="FRCP_y15">'[2]AER lookups'!$I$59</definedName>
    <definedName name="FRCP_y2" localSheetId="1">'[1]AER lookups'!$I$39</definedName>
    <definedName name="FRCP_y2" localSheetId="2">'[1]AER lookups'!$I$39</definedName>
    <definedName name="FRCP_y2">'[2]AER lookups'!$I$46</definedName>
    <definedName name="FRCP_y3" localSheetId="1">'[1]AER lookups'!$I$40</definedName>
    <definedName name="FRCP_y3" localSheetId="2">'[1]AER lookups'!$I$40</definedName>
    <definedName name="FRCP_y3">'[2]AER lookups'!$I$47</definedName>
    <definedName name="FRCP_y4" localSheetId="1">'[1]AER lookups'!$I$41</definedName>
    <definedName name="FRCP_y4" localSheetId="2">'[1]AER lookups'!$I$41</definedName>
    <definedName name="FRCP_y4">'[2]AER lookups'!$I$48</definedName>
    <definedName name="FRCP_y5" localSheetId="1">'[1]AER lookups'!$I$42</definedName>
    <definedName name="FRCP_y5" localSheetId="2">'[1]AER lookups'!$I$42</definedName>
    <definedName name="FRCP_y5">'[2]AER lookups'!$I$49</definedName>
    <definedName name="FRCP_y6" localSheetId="1">'[1]AER lookups'!$I$43</definedName>
    <definedName name="FRCP_y6" localSheetId="2">'[1]AER lookups'!$I$43</definedName>
    <definedName name="FRCP_y6">'[2]AER lookups'!$I$50</definedName>
    <definedName name="FRCP_y7" localSheetId="1">'[1]AER lookups'!$I$44</definedName>
    <definedName name="FRCP_y7" localSheetId="2">'[1]AER lookups'!$I$44</definedName>
    <definedName name="FRCP_y7">'[2]AER lookups'!$I$51</definedName>
    <definedName name="FRCP_y8" localSheetId="1">'[1]AER lookups'!$I$45</definedName>
    <definedName name="FRCP_y8" localSheetId="2">'[1]AER lookups'!$I$45</definedName>
    <definedName name="FRCP_y8">'[2]AER lookups'!$I$52</definedName>
    <definedName name="FRCP_y9" localSheetId="1">'[1]AER lookups'!$I$46</definedName>
    <definedName name="FRCP_y9" localSheetId="2">'[1]AER lookups'!$I$46</definedName>
    <definedName name="FRCP_y9">'[2]AER lookups'!$I$53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1" hidden="1">{"Ownership",#N/A,FALSE,"Ownership";"Contents",#N/A,FALSE,"Contents"}</definedName>
    <definedName name="LAN" localSheetId="2" hidden="1">{"Ownership",#N/A,FALSE,"Ownership";"Contents",#N/A,FALSE,"Contents"}</definedName>
    <definedName name="LAN" hidden="1">{"Ownership",#N/A,FALSE,"Ownership";"Contents",#N/A,FALSE,"Contents"}</definedName>
    <definedName name="PRCP_final_year" localSheetId="1">'[1]AER ETL'!$C$48</definedName>
    <definedName name="PRCP_final_year" localSheetId="2">'[1]AER ETL'!$C$48</definedName>
    <definedName name="PRCP_final_year">'[2]AER ETL'!$C$48</definedName>
    <definedName name="PRCP_y1" localSheetId="1">'[1]AER lookups'!$E$38</definedName>
    <definedName name="PRCP_y1" localSheetId="2">'[1]AER lookups'!$E$38</definedName>
    <definedName name="PRCP_y1">'[2]AER lookups'!$E$45</definedName>
    <definedName name="PRCP_y10" localSheetId="1">'[1]AER lookups'!$E$47</definedName>
    <definedName name="PRCP_y10" localSheetId="2">'[1]AER lookups'!$E$47</definedName>
    <definedName name="PRCP_y10">'[2]AER lookups'!$E$54</definedName>
    <definedName name="PRCP_y11" localSheetId="1">'[1]AER lookups'!$E$48</definedName>
    <definedName name="PRCP_y11" localSheetId="2">'[1]AER lookups'!$E$48</definedName>
    <definedName name="PRCP_y11">'[2]AER lookups'!$E$55</definedName>
    <definedName name="PRCP_y12" localSheetId="1">'[1]AER lookups'!$E$49</definedName>
    <definedName name="PRCP_y12" localSheetId="2">'[1]AER lookups'!$E$49</definedName>
    <definedName name="PRCP_y12">'[2]AER lookups'!$E$56</definedName>
    <definedName name="PRCP_y13" localSheetId="1">'[1]AER lookups'!$E$50</definedName>
    <definedName name="PRCP_y13" localSheetId="2">'[1]AER lookups'!$E$50</definedName>
    <definedName name="PRCP_y13">'[2]AER lookups'!$E$57</definedName>
    <definedName name="PRCP_y14" localSheetId="1">'[1]AER lookups'!$E$51</definedName>
    <definedName name="PRCP_y14" localSheetId="2">'[1]AER lookups'!$E$51</definedName>
    <definedName name="PRCP_y14">'[2]AER lookups'!$E$58</definedName>
    <definedName name="PRCP_y15" localSheetId="1">'[1]AER lookups'!$E$52</definedName>
    <definedName name="PRCP_y15" localSheetId="2">'[1]AER lookups'!$E$52</definedName>
    <definedName name="PRCP_y15">'[2]AER lookups'!$E$59</definedName>
    <definedName name="PRCP_y2" localSheetId="1">'[1]AER lookups'!$E$39</definedName>
    <definedName name="PRCP_y2" localSheetId="2">'[1]AER lookups'!$E$39</definedName>
    <definedName name="PRCP_y2">'[2]AER lookups'!$E$46</definedName>
    <definedName name="PRCP_y3" localSheetId="5">'[2]AER lookups'!$E$47</definedName>
    <definedName name="PRCP_y3" localSheetId="1">'[3]AER lookups'!$E$47</definedName>
    <definedName name="PRCP_y3" localSheetId="2">'[4]AER lookups'!$E$40</definedName>
    <definedName name="PRCP_y3">'[3]AER lookups'!$E$47</definedName>
    <definedName name="PRCP_y4" localSheetId="5">'[2]AER lookups'!$E$48</definedName>
    <definedName name="PRCP_y4" localSheetId="1">'[3]AER lookups'!$E$48</definedName>
    <definedName name="PRCP_y4" localSheetId="2">'[4]AER lookups'!$E$41</definedName>
    <definedName name="PRCP_y4">'[3]AER lookups'!$E$48</definedName>
    <definedName name="PRCP_y5" localSheetId="5">'[2]AER lookups'!$E$49</definedName>
    <definedName name="PRCP_y5" localSheetId="1">'[3]AER lookups'!$E$49</definedName>
    <definedName name="PRCP_y5" localSheetId="2">'[4]AER lookups'!$E$42</definedName>
    <definedName name="PRCP_y5">'[3]AER lookups'!$E$49</definedName>
    <definedName name="PRCP_y6" localSheetId="1">'[1]AER lookups'!$E$43</definedName>
    <definedName name="PRCP_y6" localSheetId="2">'[1]AER lookups'!$E$43</definedName>
    <definedName name="PRCP_y6">'[2]AER lookups'!$E$50</definedName>
    <definedName name="PRCP_y7" localSheetId="1">'[1]AER lookups'!$E$44</definedName>
    <definedName name="PRCP_y7" localSheetId="2">'[1]AER lookups'!$E$44</definedName>
    <definedName name="PRCP_y7">'[2]AER lookups'!$E$51</definedName>
    <definedName name="PRCP_y8" localSheetId="1">'[1]AER lookups'!$E$45</definedName>
    <definedName name="PRCP_y8" localSheetId="2">'[1]AER lookups'!$E$45</definedName>
    <definedName name="PRCP_y8">'[2]AER lookups'!$E$52</definedName>
    <definedName name="PRCP_y9" localSheetId="1">'[1]AER lookups'!$E$46</definedName>
    <definedName name="PRCP_y9" localSheetId="2">'[1]AER lookups'!$E$46</definedName>
    <definedName name="PRCP_y9">'[2]AER lookups'!$E$53</definedName>
    <definedName name="teest" localSheetId="1" hidden="1">{"Ownership",#N/A,FALSE,"Ownership";"Contents",#N/A,FALSE,"Contents"}</definedName>
    <definedName name="teest" localSheetId="2" hidden="1">{"Ownership",#N/A,FALSE,"Ownership";"Contents",#N/A,FALSE,"Contents"}</definedName>
    <definedName name="teest" hidden="1">{"Ownership",#N/A,FALSE,"Ownership";"Contents",#N/A,FALSE,"Contents"}</definedName>
    <definedName name="test" localSheetId="1" hidden="1">{"Ownership",#N/A,FALSE,"Ownership";"Contents",#N/A,FALSE,"Contents"}</definedName>
    <definedName name="test" localSheetId="2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1" hidden="1">{"Ownership",#N/A,FALSE,"Ownership";"Contents",#N/A,FALSE,"Contents"}</definedName>
    <definedName name="wrn.App._.Custodians." localSheetId="2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6" i="2"/>
  <c r="I14" i="2"/>
  <c r="H5" i="7"/>
  <c r="D24" i="2"/>
  <c r="I5" i="6"/>
  <c r="I4" i="6"/>
  <c r="H14" i="7"/>
  <c r="D15" i="4" s="1"/>
  <c r="C53" i="4"/>
  <c r="C54" i="4"/>
  <c r="C52" i="4"/>
  <c r="C50" i="4"/>
  <c r="C48" i="4"/>
  <c r="C47" i="4"/>
  <c r="C41" i="4"/>
  <c r="C42" i="4"/>
  <c r="C43" i="4"/>
  <c r="C44" i="4"/>
  <c r="C45" i="4"/>
  <c r="C40" i="4"/>
  <c r="E18" i="4"/>
  <c r="E19" i="4"/>
  <c r="E17" i="4"/>
  <c r="C18" i="4"/>
  <c r="C19" i="4"/>
  <c r="C17" i="4"/>
  <c r="E15" i="4"/>
  <c r="C15" i="4"/>
  <c r="E13" i="4"/>
  <c r="E12" i="4"/>
  <c r="C13" i="4"/>
  <c r="C12" i="4"/>
  <c r="E6" i="4"/>
  <c r="E7" i="4"/>
  <c r="E8" i="4"/>
  <c r="E9" i="4"/>
  <c r="E10" i="4"/>
  <c r="E5" i="4"/>
  <c r="C6" i="4"/>
  <c r="C7" i="4"/>
  <c r="C8" i="4"/>
  <c r="C9" i="4"/>
  <c r="C10" i="4"/>
  <c r="C5" i="4"/>
  <c r="J25" i="8"/>
  <c r="I25" i="8"/>
  <c r="H25" i="8"/>
  <c r="G25" i="8"/>
  <c r="J24" i="8"/>
  <c r="I24" i="8"/>
  <c r="H24" i="8"/>
  <c r="G24" i="8"/>
  <c r="J23" i="8"/>
  <c r="I23" i="8"/>
  <c r="H23" i="8"/>
  <c r="G23" i="8"/>
  <c r="J22" i="8"/>
  <c r="I22" i="8"/>
  <c r="H22" i="8"/>
  <c r="G22" i="8"/>
  <c r="J21" i="8"/>
  <c r="I21" i="8"/>
  <c r="H21" i="8"/>
  <c r="G21" i="8"/>
  <c r="J9" i="8"/>
  <c r="I9" i="8"/>
  <c r="H9" i="8"/>
  <c r="G9" i="8"/>
  <c r="J8" i="8"/>
  <c r="I8" i="8"/>
  <c r="H8" i="8"/>
  <c r="G8" i="8"/>
  <c r="J7" i="8"/>
  <c r="I7" i="8"/>
  <c r="H7" i="8"/>
  <c r="G7" i="8"/>
  <c r="J6" i="8"/>
  <c r="I6" i="8"/>
  <c r="H6" i="8"/>
  <c r="G6" i="8"/>
  <c r="J5" i="8"/>
  <c r="I5" i="8"/>
  <c r="H5" i="8"/>
  <c r="G5" i="8"/>
  <c r="J4" i="8"/>
  <c r="I4" i="8"/>
  <c r="H4" i="8"/>
  <c r="G4" i="8"/>
  <c r="J3" i="8"/>
  <c r="I3" i="8"/>
  <c r="H3" i="8"/>
  <c r="G3" i="8"/>
  <c r="B3" i="7"/>
  <c r="C3" i="7"/>
  <c r="D3" i="7"/>
  <c r="E3" i="7"/>
  <c r="F3" i="7"/>
  <c r="G3" i="7"/>
  <c r="D5" i="4"/>
  <c r="H6" i="7"/>
  <c r="D6" i="4" s="1"/>
  <c r="H7" i="7"/>
  <c r="D7" i="4" s="1"/>
  <c r="H8" i="7"/>
  <c r="D8" i="4" s="1"/>
  <c r="H9" i="7"/>
  <c r="D9" i="4" s="1"/>
  <c r="H10" i="7"/>
  <c r="D10" i="4" s="1"/>
  <c r="H12" i="7"/>
  <c r="D12" i="4" s="1"/>
  <c r="H13" i="7"/>
  <c r="D13" i="4" s="1"/>
  <c r="H16" i="7"/>
  <c r="D17" i="4" s="1"/>
  <c r="H17" i="7"/>
  <c r="D18" i="4" s="1"/>
  <c r="H18" i="7"/>
  <c r="D19" i="4" s="1"/>
  <c r="D31" i="2" l="1"/>
  <c r="E40" i="4"/>
  <c r="D54" i="4"/>
  <c r="D53" i="4"/>
  <c r="D52" i="4"/>
  <c r="D48" i="4"/>
  <c r="D47" i="4"/>
  <c r="D50" i="4"/>
  <c r="D45" i="4"/>
  <c r="D44" i="4"/>
  <c r="D43" i="4"/>
  <c r="D42" i="4"/>
  <c r="D41" i="4"/>
  <c r="D40" i="4"/>
  <c r="E54" i="4"/>
  <c r="E53" i="4"/>
  <c r="E52" i="4"/>
  <c r="E48" i="4"/>
  <c r="E47" i="4"/>
  <c r="E50" i="4"/>
  <c r="E45" i="4"/>
  <c r="E44" i="4"/>
  <c r="E43" i="4"/>
  <c r="E42" i="4"/>
  <c r="E41" i="4"/>
  <c r="J196" i="3" l="1"/>
  <c r="G174" i="3"/>
  <c r="F174" i="3"/>
  <c r="E174" i="3"/>
  <c r="D174" i="3"/>
  <c r="B174" i="3"/>
  <c r="H173" i="3"/>
  <c r="B173" i="3"/>
  <c r="H172" i="3"/>
  <c r="B172" i="3"/>
  <c r="H171" i="3"/>
  <c r="B171" i="3"/>
  <c r="H170" i="3"/>
  <c r="B170" i="3"/>
  <c r="H169" i="3"/>
  <c r="B169" i="3"/>
  <c r="H168" i="3"/>
  <c r="B168" i="3"/>
  <c r="H167" i="3"/>
  <c r="B167" i="3"/>
  <c r="H166" i="3"/>
  <c r="B166" i="3"/>
  <c r="H165" i="3"/>
  <c r="B165" i="3"/>
  <c r="H164" i="3"/>
  <c r="B164" i="3"/>
  <c r="H163" i="3"/>
  <c r="B163" i="3"/>
  <c r="H162" i="3"/>
  <c r="B162" i="3"/>
  <c r="G161" i="3"/>
  <c r="F161" i="3"/>
  <c r="E161" i="3"/>
  <c r="D161" i="3"/>
  <c r="B161" i="3"/>
  <c r="H160" i="3"/>
  <c r="B160" i="3"/>
  <c r="H159" i="3"/>
  <c r="B159" i="3"/>
  <c r="H158" i="3"/>
  <c r="B158" i="3"/>
  <c r="H157" i="3"/>
  <c r="B157" i="3"/>
  <c r="H156" i="3"/>
  <c r="B156" i="3"/>
  <c r="H155" i="3"/>
  <c r="B155" i="3"/>
  <c r="H154" i="3"/>
  <c r="B154" i="3"/>
  <c r="H153" i="3"/>
  <c r="B153" i="3"/>
  <c r="H152" i="3"/>
  <c r="B152" i="3"/>
  <c r="H151" i="3"/>
  <c r="B151" i="3"/>
  <c r="H150" i="3"/>
  <c r="B150" i="3"/>
  <c r="H149" i="3"/>
  <c r="B149" i="3"/>
  <c r="G148" i="3"/>
  <c r="F148" i="3"/>
  <c r="E148" i="3"/>
  <c r="D148" i="3"/>
  <c r="B148" i="3"/>
  <c r="H147" i="3"/>
  <c r="B147" i="3"/>
  <c r="H146" i="3"/>
  <c r="B146" i="3"/>
  <c r="H145" i="3"/>
  <c r="B145" i="3"/>
  <c r="H144" i="3"/>
  <c r="B144" i="3"/>
  <c r="H143" i="3"/>
  <c r="B143" i="3"/>
  <c r="H142" i="3"/>
  <c r="B142" i="3"/>
  <c r="H141" i="3"/>
  <c r="B141" i="3"/>
  <c r="H140" i="3"/>
  <c r="B140" i="3"/>
  <c r="H139" i="3"/>
  <c r="B139" i="3"/>
  <c r="H138" i="3"/>
  <c r="B138" i="3"/>
  <c r="H137" i="3"/>
  <c r="B137" i="3"/>
  <c r="H136" i="3"/>
  <c r="B136" i="3"/>
  <c r="G135" i="3"/>
  <c r="F135" i="3"/>
  <c r="E135" i="3"/>
  <c r="D135" i="3"/>
  <c r="B135" i="3"/>
  <c r="H134" i="3"/>
  <c r="B134" i="3"/>
  <c r="H133" i="3"/>
  <c r="B133" i="3"/>
  <c r="H132" i="3"/>
  <c r="B132" i="3"/>
  <c r="H131" i="3"/>
  <c r="B131" i="3"/>
  <c r="H130" i="3"/>
  <c r="B130" i="3"/>
  <c r="H129" i="3"/>
  <c r="B129" i="3"/>
  <c r="H128" i="3"/>
  <c r="B128" i="3"/>
  <c r="H127" i="3"/>
  <c r="B127" i="3"/>
  <c r="H126" i="3"/>
  <c r="B126" i="3"/>
  <c r="H125" i="3"/>
  <c r="H135" i="3" s="1"/>
  <c r="B125" i="3"/>
  <c r="H124" i="3"/>
  <c r="B124" i="3"/>
  <c r="H123" i="3"/>
  <c r="B123" i="3"/>
  <c r="G122" i="3"/>
  <c r="F122" i="3"/>
  <c r="E122" i="3"/>
  <c r="D122" i="3"/>
  <c r="B122" i="3"/>
  <c r="H121" i="3"/>
  <c r="B121" i="3"/>
  <c r="H120" i="3"/>
  <c r="B120" i="3"/>
  <c r="H119" i="3"/>
  <c r="B119" i="3"/>
  <c r="H118" i="3"/>
  <c r="B118" i="3"/>
  <c r="H117" i="3"/>
  <c r="B117" i="3"/>
  <c r="H116" i="3"/>
  <c r="B116" i="3"/>
  <c r="H115" i="3"/>
  <c r="B115" i="3"/>
  <c r="H114" i="3"/>
  <c r="B114" i="3"/>
  <c r="H113" i="3"/>
  <c r="B113" i="3"/>
  <c r="H112" i="3"/>
  <c r="B112" i="3"/>
  <c r="H111" i="3"/>
  <c r="H122" i="3" s="1"/>
  <c r="B111" i="3"/>
  <c r="H110" i="3"/>
  <c r="B110" i="3"/>
  <c r="G109" i="3"/>
  <c r="F109" i="3"/>
  <c r="E109" i="3"/>
  <c r="D109" i="3"/>
  <c r="B109" i="3"/>
  <c r="H108" i="3"/>
  <c r="B108" i="3"/>
  <c r="H107" i="3"/>
  <c r="B107" i="3"/>
  <c r="H106" i="3"/>
  <c r="B106" i="3"/>
  <c r="H105" i="3"/>
  <c r="B105" i="3"/>
  <c r="H104" i="3"/>
  <c r="B104" i="3"/>
  <c r="H103" i="3"/>
  <c r="B103" i="3"/>
  <c r="H102" i="3"/>
  <c r="B102" i="3"/>
  <c r="H101" i="3"/>
  <c r="B101" i="3"/>
  <c r="H100" i="3"/>
  <c r="B100" i="3"/>
  <c r="H99" i="3"/>
  <c r="B99" i="3"/>
  <c r="H98" i="3"/>
  <c r="B98" i="3"/>
  <c r="H97" i="3"/>
  <c r="B97" i="3"/>
  <c r="G96" i="3"/>
  <c r="F96" i="3"/>
  <c r="E96" i="3"/>
  <c r="D96" i="3"/>
  <c r="B96" i="3"/>
  <c r="H95" i="3"/>
  <c r="B95" i="3"/>
  <c r="H94" i="3"/>
  <c r="B94" i="3"/>
  <c r="H93" i="3"/>
  <c r="B93" i="3"/>
  <c r="H92" i="3"/>
  <c r="B92" i="3"/>
  <c r="H91" i="3"/>
  <c r="B91" i="3"/>
  <c r="H90" i="3"/>
  <c r="B90" i="3"/>
  <c r="H89" i="3"/>
  <c r="B89" i="3"/>
  <c r="H88" i="3"/>
  <c r="B88" i="3"/>
  <c r="H87" i="3"/>
  <c r="B87" i="3"/>
  <c r="H86" i="3"/>
  <c r="B86" i="3"/>
  <c r="H85" i="3"/>
  <c r="B85" i="3"/>
  <c r="H84" i="3"/>
  <c r="B84" i="3"/>
  <c r="G83" i="3"/>
  <c r="F83" i="3"/>
  <c r="E83" i="3"/>
  <c r="D83" i="3"/>
  <c r="B83" i="3"/>
  <c r="H82" i="3"/>
  <c r="B82" i="3"/>
  <c r="H81" i="3"/>
  <c r="B81" i="3"/>
  <c r="H80" i="3"/>
  <c r="B80" i="3"/>
  <c r="H79" i="3"/>
  <c r="B79" i="3"/>
  <c r="H78" i="3"/>
  <c r="B78" i="3"/>
  <c r="H77" i="3"/>
  <c r="B77" i="3"/>
  <c r="H76" i="3"/>
  <c r="B76" i="3"/>
  <c r="H75" i="3"/>
  <c r="B75" i="3"/>
  <c r="H74" i="3"/>
  <c r="B74" i="3"/>
  <c r="H73" i="3"/>
  <c r="B73" i="3"/>
  <c r="H72" i="3"/>
  <c r="B72" i="3"/>
  <c r="H71" i="3"/>
  <c r="B71" i="3"/>
  <c r="J31" i="3"/>
  <c r="I31" i="3"/>
  <c r="H31" i="3"/>
  <c r="G31" i="3"/>
  <c r="F31" i="3"/>
  <c r="F30" i="3"/>
  <c r="E30" i="3"/>
  <c r="I25" i="3"/>
  <c r="I24" i="3"/>
  <c r="I23" i="3"/>
  <c r="I21" i="3"/>
  <c r="I20" i="3"/>
  <c r="I19" i="3"/>
  <c r="I17" i="3"/>
  <c r="I16" i="3"/>
  <c r="I15" i="3"/>
  <c r="I14" i="3"/>
  <c r="I13" i="3"/>
  <c r="I12" i="3"/>
  <c r="H10" i="3"/>
  <c r="G10" i="3"/>
  <c r="F10" i="3"/>
  <c r="E10" i="3"/>
  <c r="D10" i="3"/>
  <c r="C10" i="3"/>
  <c r="B3" i="3"/>
  <c r="B2" i="3"/>
  <c r="B1" i="3"/>
  <c r="H148" i="3" l="1"/>
  <c r="H109" i="3"/>
  <c r="H83" i="3"/>
  <c r="H96" i="3"/>
  <c r="H174" i="3"/>
  <c r="H161" i="3"/>
  <c r="G188" i="3"/>
  <c r="F186" i="3"/>
  <c r="D184" i="3"/>
  <c r="D182" i="3"/>
  <c r="E185" i="3"/>
  <c r="G185" i="3"/>
  <c r="S178" i="3"/>
  <c r="G187" i="3"/>
  <c r="Q178" i="3"/>
  <c r="F184" i="3"/>
  <c r="Q179" i="3"/>
  <c r="Q180" i="3" s="1"/>
  <c r="S179" i="3"/>
  <c r="S180" i="3" s="1"/>
  <c r="E183" i="3"/>
  <c r="R178" i="3"/>
  <c r="R179" i="3"/>
  <c r="R180" i="3" s="1"/>
  <c r="D183" i="3"/>
  <c r="E184" i="3"/>
  <c r="F185" i="3"/>
  <c r="G186" i="3"/>
  <c r="L178" i="3"/>
  <c r="L179" i="3"/>
  <c r="L180" i="3" s="1"/>
  <c r="D181" i="3"/>
  <c r="E182" i="3"/>
  <c r="F183" i="3"/>
  <c r="G184" i="3"/>
  <c r="M178" i="3"/>
  <c r="M179" i="3"/>
  <c r="M180" i="3" s="1"/>
  <c r="E181" i="3"/>
  <c r="F182" i="3"/>
  <c r="G183" i="3"/>
  <c r="D188" i="3"/>
  <c r="N178" i="3"/>
  <c r="N179" i="3"/>
  <c r="N180" i="3" s="1"/>
  <c r="F181" i="3"/>
  <c r="G182" i="3"/>
  <c r="D187" i="3"/>
  <c r="E188" i="3"/>
  <c r="O178" i="3"/>
  <c r="O179" i="3"/>
  <c r="O180" i="3" s="1"/>
  <c r="G181" i="3"/>
  <c r="D186" i="3"/>
  <c r="E187" i="3"/>
  <c r="F188" i="3"/>
  <c r="P178" i="3"/>
  <c r="P179" i="3"/>
  <c r="P180" i="3" s="1"/>
  <c r="D185" i="3"/>
  <c r="E186" i="3"/>
  <c r="F187" i="3"/>
  <c r="O181" i="3" l="1"/>
  <c r="M181" i="3"/>
  <c r="Q181" i="3"/>
  <c r="H185" i="3"/>
  <c r="H183" i="3"/>
  <c r="G191" i="3"/>
  <c r="S181" i="3"/>
  <c r="H186" i="3"/>
  <c r="Q182" i="3" s="1"/>
  <c r="N181" i="3"/>
  <c r="H184" i="3"/>
  <c r="O182" i="3" s="1"/>
  <c r="H188" i="3"/>
  <c r="H182" i="3"/>
  <c r="P181" i="3"/>
  <c r="D191" i="3"/>
  <c r="R181" i="3"/>
  <c r="H181" i="3"/>
  <c r="E191" i="3"/>
  <c r="H187" i="3"/>
  <c r="L181" i="3"/>
  <c r="F191" i="3"/>
  <c r="S182" i="3" l="1"/>
  <c r="P182" i="3"/>
  <c r="N182" i="3"/>
  <c r="L182" i="3"/>
  <c r="H189" i="3"/>
  <c r="R182" i="3"/>
  <c r="H190" i="3"/>
  <c r="M182" i="3"/>
  <c r="H192" i="3" l="1"/>
  <c r="I182" i="3"/>
  <c r="I183" i="3"/>
  <c r="I184" i="3"/>
  <c r="H193" i="3"/>
  <c r="I185" i="3"/>
  <c r="I186" i="3"/>
  <c r="I187" i="3"/>
  <c r="I188" i="3"/>
  <c r="I181" i="3"/>
  <c r="J181" i="3" s="1"/>
  <c r="J183" i="3" l="1"/>
  <c r="J188" i="3"/>
  <c r="J187" i="3"/>
  <c r="J186" i="3"/>
  <c r="J185" i="3"/>
  <c r="J184" i="3"/>
  <c r="J182" i="3"/>
  <c r="J190" i="3"/>
  <c r="J189" i="3"/>
  <c r="J194" i="3" l="1"/>
  <c r="J197" i="3" s="1"/>
  <c r="I12" i="2" l="1"/>
  <c r="I11" i="2"/>
  <c r="I10" i="2"/>
  <c r="H13" i="2" l="1"/>
  <c r="J10" i="2"/>
  <c r="H14" i="2"/>
  <c r="H10" i="2"/>
  <c r="J11" i="2"/>
  <c r="J12" i="2"/>
  <c r="H12" i="2"/>
  <c r="H16" i="2"/>
  <c r="H11" i="2"/>
  <c r="H15" i="2"/>
  <c r="H18" i="2" l="1"/>
  <c r="H19" i="2"/>
  <c r="H20" i="2" l="1"/>
  <c r="D32" i="2" s="1"/>
  <c r="J16" i="2" l="1"/>
  <c r="J15" i="2"/>
  <c r="J14" i="2"/>
  <c r="I13" i="2"/>
  <c r="J13" i="2" s="1"/>
  <c r="J19" i="2" l="1"/>
  <c r="J18" i="2"/>
  <c r="J20" i="2" l="1"/>
  <c r="D33" i="2" s="1"/>
  <c r="C25" i="4" s="1"/>
  <c r="D28" i="2" l="1"/>
  <c r="C24" i="4" s="1"/>
  <c r="C26" i="4" s="1"/>
  <c r="D25" i="2"/>
</calcChain>
</file>

<file path=xl/sharedStrings.xml><?xml version="1.0" encoding="utf-8"?>
<sst xmlns="http://schemas.openxmlformats.org/spreadsheetml/2006/main" count="371" uniqueCount="186">
  <si>
    <t>7.9.1 - Historical performance and proposed floor, caps and targets for the service component of the STPIS</t>
  </si>
  <si>
    <t>Parameter</t>
  </si>
  <si>
    <t>Performance actuals</t>
  </si>
  <si>
    <t>Average of actual performance</t>
  </si>
  <si>
    <t>Unplanned outage circuit event rate:</t>
  </si>
  <si>
    <t>Transmission line outage - fault</t>
  </si>
  <si>
    <t xml:space="preserve">Transformer outage – fault </t>
  </si>
  <si>
    <t xml:space="preserve">Reactive plant – fault </t>
  </si>
  <si>
    <t>Transmission line outage – forced outage</t>
  </si>
  <si>
    <t>Transformer outage – forced outage</t>
  </si>
  <si>
    <t>Reactive plant – forced outage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</si>
  <si>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</si>
  <si>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</si>
  <si>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</si>
  <si>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</si>
  <si>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Proper operation of equipment (number of events):</t>
  </si>
  <si>
    <t>Failure of protection system</t>
  </si>
  <si>
    <t>Material failure of SCADA</t>
  </si>
  <si>
    <t>Incorrect operational isolation of primary or secondary equipment</t>
  </si>
  <si>
    <t>ElectraNet data applied - STPIS Version 5 - Appendix F, Example 2, Table 6-2</t>
  </si>
  <si>
    <t>Performance target and measure determination</t>
  </si>
  <si>
    <t>Regulatory period (RP)</t>
  </si>
  <si>
    <t>Target set in RCP</t>
  </si>
  <si>
    <t>Raw performance count</t>
  </si>
  <si>
    <t>Capped unplanned count</t>
  </si>
  <si>
    <t>Adjusted performance count</t>
  </si>
  <si>
    <t>Target [1]</t>
  </si>
  <si>
    <t>Planned</t>
  </si>
  <si>
    <t>Unplanned</t>
  </si>
  <si>
    <t>Total (Planned + Unplanned)</t>
  </si>
  <si>
    <t>Min of Raw Unplanned or 0.17x(M)</t>
  </si>
  <si>
    <t>(a) + (d)</t>
  </si>
  <si>
    <t>(RP)</t>
  </si>
  <si>
    <t>year</t>
  </si>
  <si>
    <t>(T)</t>
  </si>
  <si>
    <t>(a)</t>
  </si>
  <si>
    <t>(b)</t>
  </si>
  <si>
    <t>(a) + (b)</t>
  </si>
  <si>
    <t>(d)</t>
  </si>
  <si>
    <t>(e)</t>
  </si>
  <si>
    <t>RP1</t>
  </si>
  <si>
    <t>RP2</t>
  </si>
  <si>
    <t>Max</t>
  </si>
  <si>
    <t>Min</t>
  </si>
  <si>
    <t>Average of median 5</t>
  </si>
  <si>
    <t>[M]</t>
  </si>
  <si>
    <t>[T]</t>
  </si>
  <si>
    <t>MAR [1]:</t>
  </si>
  <si>
    <t>Dollar per dispatch interval:</t>
  </si>
  <si>
    <t>Performance target:</t>
  </si>
  <si>
    <t>Input:</t>
  </si>
  <si>
    <t>7.9 SERVICE TARGET PERFORMANCE INCENTIVE SCHEME (STPIS)</t>
  </si>
  <si>
    <r>
      <t xml:space="preserve">There are </t>
    </r>
    <r>
      <rPr>
        <b/>
        <sz val="11"/>
        <color rgb="FFFF0000"/>
        <rFont val="Calibri"/>
        <family val="2"/>
        <scheme val="minor"/>
      </rPr>
      <t>FOUR</t>
    </r>
    <r>
      <rPr>
        <sz val="11"/>
        <rFont val="Calibri"/>
        <family val="2"/>
        <scheme val="minor"/>
      </rPr>
      <t xml:space="preserve"> tables on this worksheet. Each table has been grouped (and sub-grouped) for ease of navigation. See the </t>
    </r>
    <r>
      <rPr>
        <i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 sheet on how to group or ungroup tables. </t>
    </r>
  </si>
  <si>
    <t>Floor</t>
  </si>
  <si>
    <t>Target</t>
  </si>
  <si>
    <t>Cap</t>
  </si>
  <si>
    <t>Weighting 
(% of MAR)</t>
  </si>
  <si>
    <t>7.9.2 - Proposed priority projects for the network capability incentive parameter</t>
  </si>
  <si>
    <t>Project ranking</t>
  </si>
  <si>
    <t>Transmission Circuit /  Injection Point</t>
  </si>
  <si>
    <t>Scope of works</t>
  </si>
  <si>
    <t>Opex</t>
  </si>
  <si>
    <t>Capex</t>
  </si>
  <si>
    <t/>
  </si>
  <si>
    <t>7.9.3 – Network limit information</t>
  </si>
  <si>
    <r>
      <t>Limit identification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</si>
  <si>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Define limit  </t>
  </si>
  <si>
    <t xml:space="preserve">Reason for the limit </t>
  </si>
  <si>
    <t>Is limit addressed by priority project</t>
  </si>
  <si>
    <t>Supporting information reference</t>
  </si>
  <si>
    <t>7.9.4 - Market impact component</t>
  </si>
  <si>
    <t>Market impact parameter</t>
  </si>
  <si>
    <t>Planned outage count(DI)</t>
  </si>
  <si>
    <t xml:space="preserve">Unplanned outage count (DI) </t>
  </si>
  <si>
    <t>Year</t>
  </si>
  <si>
    <t>Month</t>
  </si>
  <si>
    <t>without exclusions</t>
  </si>
  <si>
    <t>with exclusions</t>
  </si>
  <si>
    <t>Market impact parameters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</si>
  <si>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</si>
  <si>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</si>
  <si>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</si>
  <si>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</si>
  <si>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</si>
  <si>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</si>
  <si>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</si>
  <si>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</si>
  <si>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</si>
  <si>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</si>
  <si>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</si>
  <si>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</si>
  <si>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7.9.4A - Market impact component - Targets</t>
  </si>
  <si>
    <t>planned + capped unplanned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</si>
  <si>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</si>
  <si>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</si>
  <si>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</si>
  <si>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</si>
  <si>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</si>
  <si>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</si>
  <si>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</si>
  <si>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</si>
  <si>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Raw target</t>
  </si>
  <si>
    <t>Raw performance target - &gt;</t>
  </si>
  <si>
    <t>M</t>
  </si>
  <si>
    <t>Unplanned Event Limit 17% of M -&gt;</t>
  </si>
  <si>
    <t>T</t>
  </si>
  <si>
    <t>MAR ($) real 2023</t>
  </si>
  <si>
    <t>1% of MAR ($)</t>
  </si>
  <si>
    <t>$ per DI</t>
  </si>
  <si>
    <t xml:space="preserve">Unplanned outage circuit event rate </t>
  </si>
  <si>
    <t>Transformer outage - fault</t>
  </si>
  <si>
    <t>Reactive plant - fault</t>
  </si>
  <si>
    <t>Transmission line outage - forced outage</t>
  </si>
  <si>
    <t>Transformer outage - forced outage</t>
  </si>
  <si>
    <t>Reactive plant - forced outage</t>
  </si>
  <si>
    <t xml:space="preserve">Loss of supply events frequency </t>
  </si>
  <si>
    <t>No. of events &gt; 0.05 system minutes</t>
  </si>
  <si>
    <t>No. of events &gt; 0.2 system minutes</t>
  </si>
  <si>
    <t xml:space="preserve">Average outage duration </t>
  </si>
  <si>
    <t>Average outage duration</t>
  </si>
  <si>
    <t xml:space="preserve">Proper operation of equipment </t>
  </si>
  <si>
    <t xml:space="preserve">Target </t>
  </si>
  <si>
    <t xml:space="preserve">Unplanned outage event limit </t>
  </si>
  <si>
    <t xml:space="preserve">Dollar per dispatch interval </t>
  </si>
  <si>
    <t>Priority project name</t>
  </si>
  <si>
    <t>Amount approved ($ million)</t>
  </si>
  <si>
    <t>1. Robertstown to Tungkillo Line Uprating</t>
  </si>
  <si>
    <t>2. Davenport to Cultana Line Uprating</t>
  </si>
  <si>
    <t>3. Transmission line ratings improvements</t>
  </si>
  <si>
    <t>4. Enhancing Reactive Power and Voltage Control Capability of Riverland</t>
  </si>
  <si>
    <t>Total</t>
  </si>
  <si>
    <t>Distribution</t>
  </si>
  <si>
    <t>(5th percentile)</t>
  </si>
  <si>
    <t>(95th percentile)</t>
  </si>
  <si>
    <t>Unplanned outage circuit event rate (%)</t>
  </si>
  <si>
    <t>Loss of supply events frequency (no of events)</t>
  </si>
  <si>
    <t>Average outage duration (minutes)</t>
  </si>
  <si>
    <t>Proper operation of equipment (no of events)</t>
  </si>
  <si>
    <t>ElectraNet - distributions selected based on mechanical selection of lowest K-S distance statistic, 2017-2021 underlying input data. Calendar year data</t>
  </si>
  <si>
    <t>KS Distance Statistic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</si>
  <si>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</si>
  <si>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</si>
  <si>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</si>
  <si>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</si>
  <si>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</si>
  <si>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</si>
  <si>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</si>
  <si>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5th percentile of fitted distribution</t>
  </si>
  <si>
    <t>50th percentile of fitted distribution</t>
  </si>
  <si>
    <t>95th percentile of fitted distribution</t>
  </si>
  <si>
    <t>LogLogisitc</t>
  </si>
  <si>
    <t>LogLogistic</t>
  </si>
  <si>
    <t>Pearson5</t>
  </si>
  <si>
    <t>Weibull</t>
  </si>
  <si>
    <t>Uniform</t>
  </si>
  <si>
    <t>Distributions fitted setting: lower limit with fixed bound of zero; unsure upper limit; no change to default "suppress questionable fits" setting</t>
  </si>
  <si>
    <t xml:space="preserve">While @Risk allows beta general to be a candidate distribution, we have not included it as a candidate distribution as it uses 4 parameters and we only have 5 data points. </t>
  </si>
  <si>
    <t>Where a candidate distribution has been estimated to have an infinite standard deviation we have ruled it out of consideration.</t>
  </si>
  <si>
    <t xml:space="preserve">ElectraNet - distributions selected based on mechanical selection of lowest AIC, 2017-2021 underlying input data. </t>
  </si>
  <si>
    <t>AIC</t>
  </si>
  <si>
    <t>Number of events &gt; (x) system minutes</t>
  </si>
  <si>
    <t>Poisson</t>
  </si>
  <si>
    <t>Number of events &gt; (y) system minutes</t>
  </si>
  <si>
    <t>Geomet</t>
  </si>
  <si>
    <t xml:space="preserve">  </t>
  </si>
  <si>
    <t>Proposed capex ($ million)</t>
  </si>
  <si>
    <t>Proposed opex ($ million)</t>
  </si>
  <si>
    <t>Table 10.1 Final decision — Service Components caps floors and target for 2023–28</t>
  </si>
  <si>
    <t>Table 10.2 Final decision — Market Impact Component parameter values for 2023–28</t>
  </si>
  <si>
    <t>Table 10.3 Final decision — Network Capability Component for 2023–28</t>
  </si>
  <si>
    <t>Table 10.4 Final decision — Distribution, Floors and Caps for 2023–28</t>
  </si>
  <si>
    <t>ElectraNet Final decision</t>
  </si>
  <si>
    <t>2023-24</t>
  </si>
  <si>
    <t>2024-25</t>
  </si>
  <si>
    <t>2025-26</t>
  </si>
  <si>
    <t>2026-27</t>
  </si>
  <si>
    <t>2027-28</t>
  </si>
  <si>
    <t>MAR smoothed ($m, nominal)</t>
  </si>
  <si>
    <t>MAR smoothed ($m, 2022-23)</t>
  </si>
  <si>
    <t xml:space="preserve">          97.4 </t>
  </si>
  <si>
    <t>RP3:</t>
  </si>
  <si>
    <t>RP1 unplanned cap</t>
  </si>
  <si>
    <t>RP2 unplanned cap</t>
  </si>
  <si>
    <t>RP3 unplanned cap</t>
  </si>
  <si>
    <t>18-23 Regulatory period</t>
  </si>
  <si>
    <t>23-28 Regulatory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</si>
</sst>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0.0%"/>
    <numFmt numFmtId="166" formatCode="_-* #,##0_-;[Red]\(#,##0\)_-;_-* &quot;-&quot;??_-;_-@_-"/>
    <numFmt numFmtId="167" formatCode="_-* #,##0.00_-;[Red]\(#,##0.00\)_-;_-* &quot;-&quot;??_-;_-@_-"/>
    <numFmt numFmtId="168" formatCode="_-* #,##0.000_-;[Red]\(#,##0.000\)_-;_-* &quot;-&quot;??_-;_-@_-"/>
    <numFmt numFmtId="169" formatCode="&quot;$&quot;#,##0"/>
    <numFmt numFmtId="170" formatCode="&quot;$&quot;#,##0.00"/>
    <numFmt numFmtId="171" formatCode="_-* #,##0_-;\-* #,##0_-;_-* &quot;-&quot;??_-;_-@_-"/>
    <numFmt numFmtId="172" formatCode="0.0"/>
    <numFmt numFmtId="173" formatCode="0.0000"/>
    <numFmt numFmtId="174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Gill Sans MT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0" tint="-0.34998626667073579"/>
      <name val="Calibri"/>
      <family val="2"/>
    </font>
    <font>
      <b/>
      <i/>
      <sz val="11"/>
      <color theme="1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 tint="4.9989318521683403E-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FF"/>
      <name val="Arial"/>
      <family val="2"/>
    </font>
    <font>
      <b/>
      <sz val="10"/>
      <color rgb="FFFF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499984740745262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6" fontId="7" fillId="6" borderId="13" applyBorder="0">
      <alignment horizontal="right"/>
      <protection locked="0"/>
    </xf>
    <xf numFmtId="0" fontId="9" fillId="8" borderId="0" applyProtection="0"/>
    <xf numFmtId="0" fontId="1" fillId="12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Fill="0"/>
    <xf numFmtId="164" fontId="1" fillId="0" borderId="0" applyFont="0" applyFill="0" applyBorder="0" applyAlignment="0" applyProtection="0"/>
  </cellStyleXfs>
  <cellXfs count="308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4" fillId="3" borderId="8" xfId="1" applyNumberFormat="1" applyFont="1" applyFill="1" applyBorder="1" applyAlignment="1">
      <alignment horizontal="center" vertical="center"/>
    </xf>
    <xf numFmtId="165" fontId="4" fillId="3" borderId="9" xfId="1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0" fontId="5" fillId="5" borderId="11" xfId="0" applyFont="1" applyFill="1" applyBorder="1"/>
    <xf numFmtId="0" fontId="6" fillId="0" borderId="12" xfId="0" applyFont="1" applyBorder="1" applyAlignment="1">
      <alignment horizontal="left" vertical="center" wrapText="1" indent="2"/>
    </xf>
    <xf numFmtId="167" fontId="7" fillId="6" borderId="14" xfId="2" applyNumberFormat="1" applyBorder="1">
      <alignment horizontal="right"/>
      <protection locked="0"/>
    </xf>
    <xf numFmtId="168" fontId="7" fillId="6" borderId="14" xfId="2" applyNumberFormat="1" applyBorder="1">
      <alignment horizontal="right"/>
      <protection locked="0"/>
    </xf>
    <xf numFmtId="167" fontId="8" fillId="7" borderId="14" xfId="1" applyNumberFormat="1" applyFont="1" applyFill="1" applyBorder="1"/>
    <xf numFmtId="2" fontId="0" fillId="0" borderId="0" xfId="0" applyNumberFormat="1"/>
    <xf numFmtId="0" fontId="6" fillId="0" borderId="15" xfId="0" applyFont="1" applyBorder="1" applyAlignment="1">
      <alignment horizontal="left" vertical="center" wrapText="1" indent="2"/>
    </xf>
    <xf numFmtId="167" fontId="7" fillId="6" borderId="16" xfId="2" applyNumberFormat="1" applyBorder="1">
      <alignment horizontal="right"/>
      <protection locked="0"/>
    </xf>
    <xf numFmtId="166" fontId="7" fillId="6" borderId="14" xfId="2" applyBorder="1">
      <alignment horizontal="right"/>
      <protection locked="0"/>
    </xf>
    <xf numFmtId="0" fontId="6" fillId="0" borderId="17" xfId="0" applyFont="1" applyBorder="1" applyAlignment="1">
      <alignment horizontal="left" vertical="center" wrapText="1" indent="2"/>
    </xf>
    <xf numFmtId="166" fontId="7" fillId="6" borderId="18" xfId="2" applyBorder="1">
      <alignment horizontal="right"/>
      <protection locked="0"/>
    </xf>
    <xf numFmtId="0" fontId="4" fillId="5" borderId="19" xfId="0" applyFont="1" applyFill="1" applyBorder="1" applyAlignment="1">
      <alignment vertical="center" wrapText="1"/>
    </xf>
    <xf numFmtId="166" fontId="7" fillId="6" borderId="20" xfId="2" applyBorder="1">
      <alignment horizontal="right"/>
      <protection locked="0"/>
    </xf>
    <xf numFmtId="0" fontId="6" fillId="0" borderId="15" xfId="0" applyFont="1" applyBorder="1" applyAlignment="1">
      <alignment horizontal="left" wrapText="1" indent="2"/>
    </xf>
    <xf numFmtId="166" fontId="7" fillId="6" borderId="16" xfId="2" applyBorder="1">
      <alignment horizontal="right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0" fillId="8" borderId="0" xfId="3" applyFont="1"/>
    <xf numFmtId="0" fontId="10" fillId="8" borderId="0" xfId="3" applyFont="1" applyAlignment="1">
      <alignment horizontal="left"/>
    </xf>
    <xf numFmtId="0" fontId="11" fillId="8" borderId="0" xfId="3" applyFont="1" applyAlignment="1">
      <alignment horizontal="left"/>
    </xf>
    <xf numFmtId="0" fontId="12" fillId="8" borderId="0" xfId="3" applyFont="1"/>
    <xf numFmtId="0" fontId="13" fillId="8" borderId="0" xfId="3" applyFont="1"/>
    <xf numFmtId="0" fontId="10" fillId="8" borderId="0" xfId="3" applyFont="1" applyAlignment="1">
      <alignment vertical="center"/>
    </xf>
    <xf numFmtId="0" fontId="14" fillId="8" borderId="0" xfId="3" applyFont="1" applyAlignment="1">
      <alignment vertical="center"/>
    </xf>
    <xf numFmtId="0" fontId="15" fillId="8" borderId="0" xfId="3" applyFont="1" applyAlignment="1">
      <alignment horizontal="left" vertical="center"/>
    </xf>
    <xf numFmtId="0" fontId="16" fillId="8" borderId="0" xfId="3" applyFont="1" applyAlignment="1">
      <alignment horizontal="left" vertical="top"/>
    </xf>
    <xf numFmtId="0" fontId="10" fillId="8" borderId="0" xfId="3" applyFont="1" applyAlignment="1">
      <alignment horizontal="center" vertical="center"/>
    </xf>
    <xf numFmtId="0" fontId="15" fillId="8" borderId="0" xfId="3" applyFont="1" applyAlignment="1">
      <alignment horizontal="left" vertical="top"/>
    </xf>
    <xf numFmtId="0" fontId="10" fillId="8" borderId="0" xfId="3" applyFont="1" applyAlignment="1">
      <alignment horizontal="center"/>
    </xf>
    <xf numFmtId="2" fontId="10" fillId="8" borderId="0" xfId="1" applyNumberFormat="1" applyFont="1" applyFill="1" applyBorder="1"/>
    <xf numFmtId="0" fontId="17" fillId="8" borderId="0" xfId="3" applyFont="1"/>
    <xf numFmtId="0" fontId="5" fillId="8" borderId="0" xfId="0" applyFont="1" applyFill="1"/>
    <xf numFmtId="0" fontId="18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8" borderId="0" xfId="3" applyFont="1"/>
    <xf numFmtId="3" fontId="5" fillId="8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0" borderId="0" xfId="0" applyFont="1" applyFill="1" applyAlignment="1">
      <alignment horizontal="center" vertical="center"/>
    </xf>
    <xf numFmtId="3" fontId="5" fillId="10" borderId="0" xfId="0" applyNumberFormat="1" applyFont="1" applyFill="1" applyAlignment="1">
      <alignment horizontal="center" vertical="center"/>
    </xf>
    <xf numFmtId="0" fontId="17" fillId="8" borderId="0" xfId="3" applyFont="1" applyAlignment="1">
      <alignment horizontal="right"/>
    </xf>
    <xf numFmtId="0" fontId="5" fillId="11" borderId="0" xfId="0" applyFont="1" applyFill="1" applyAlignment="1">
      <alignment horizontal="center" vertical="top"/>
    </xf>
    <xf numFmtId="0" fontId="18" fillId="11" borderId="0" xfId="0" applyFont="1" applyFill="1" applyAlignment="1">
      <alignment horizontal="left" vertical="top"/>
    </xf>
    <xf numFmtId="0" fontId="19" fillId="11" borderId="0" xfId="0" applyFont="1" applyFill="1" applyAlignment="1">
      <alignment horizontal="center" vertical="top"/>
    </xf>
    <xf numFmtId="0" fontId="21" fillId="11" borderId="0" xfId="0" applyFont="1" applyFill="1" applyAlignment="1">
      <alignment horizontal="right" vertical="top"/>
    </xf>
    <xf numFmtId="0" fontId="5" fillId="8" borderId="0" xfId="0" applyFont="1" applyFill="1" applyAlignment="1">
      <alignment horizontal="right"/>
    </xf>
    <xf numFmtId="0" fontId="5" fillId="11" borderId="0" xfId="0" applyFont="1" applyFill="1" applyAlignment="1">
      <alignment horizontal="left" vertical="top"/>
    </xf>
    <xf numFmtId="0" fontId="18" fillId="9" borderId="0" xfId="0" applyFont="1" applyFill="1" applyAlignment="1">
      <alignment horizontal="left" vertical="top"/>
    </xf>
    <xf numFmtId="0" fontId="22" fillId="8" borderId="0" xfId="3" applyFont="1"/>
    <xf numFmtId="0" fontId="17" fillId="8" borderId="0" xfId="3" applyFont="1" applyAlignment="1">
      <alignment horizontal="center"/>
    </xf>
    <xf numFmtId="0" fontId="17" fillId="8" borderId="0" xfId="3" applyFont="1" applyAlignment="1">
      <alignment horizontal="left" vertical="top"/>
    </xf>
    <xf numFmtId="0" fontId="24" fillId="15" borderId="22" xfId="0" applyFont="1" applyFill="1" applyBorder="1" applyAlignment="1" applyProtection="1">
      <alignment vertical="center"/>
      <protection locked="0"/>
    </xf>
    <xf numFmtId="0" fontId="24" fillId="15" borderId="0" xfId="0" applyFont="1" applyFill="1" applyAlignment="1">
      <alignment vertical="center"/>
    </xf>
    <xf numFmtId="0" fontId="0" fillId="8" borderId="0" xfId="0" applyFill="1"/>
    <xf numFmtId="0" fontId="24" fillId="15" borderId="0" xfId="0" applyFont="1" applyFill="1" applyAlignment="1">
      <alignment horizontal="left" vertical="center"/>
    </xf>
    <xf numFmtId="0" fontId="25" fillId="16" borderId="0" xfId="0" applyFont="1" applyFill="1" applyAlignment="1">
      <alignment vertical="center"/>
    </xf>
    <xf numFmtId="0" fontId="26" fillId="16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6" fillId="5" borderId="11" xfId="0" applyFont="1" applyFill="1" applyBorder="1"/>
    <xf numFmtId="0" fontId="4" fillId="5" borderId="11" xfId="0" applyFont="1" applyFill="1" applyBorder="1" applyAlignment="1">
      <alignment wrapText="1"/>
    </xf>
    <xf numFmtId="10" fontId="4" fillId="5" borderId="25" xfId="0" applyNumberFormat="1" applyFont="1" applyFill="1" applyBorder="1" applyAlignment="1" applyProtection="1">
      <alignment horizontal="right" vertical="center" wrapText="1"/>
      <protection locked="0"/>
    </xf>
    <xf numFmtId="165" fontId="29" fillId="18" borderId="14" xfId="1" applyNumberFormat="1" applyFont="1" applyFill="1" applyBorder="1" applyAlignment="1" applyProtection="1">
      <alignment horizontal="right" vertical="center"/>
      <protection locked="0"/>
    </xf>
    <xf numFmtId="10" fontId="6" fillId="0" borderId="26" xfId="0" applyNumberFormat="1" applyFont="1" applyBorder="1" applyAlignment="1" applyProtection="1">
      <alignment horizontal="right" vertical="center" wrapText="1"/>
      <protection locked="0"/>
    </xf>
    <xf numFmtId="9" fontId="0" fillId="8" borderId="0" xfId="1" applyFont="1" applyFill="1"/>
    <xf numFmtId="165" fontId="29" fillId="18" borderId="16" xfId="1" applyNumberFormat="1" applyFont="1" applyFill="1" applyBorder="1" applyAlignment="1" applyProtection="1">
      <alignment horizontal="right" vertical="center"/>
      <protection locked="0"/>
    </xf>
    <xf numFmtId="10" fontId="6" fillId="0" borderId="27" xfId="0" applyNumberFormat="1" applyFont="1" applyBorder="1" applyAlignment="1" applyProtection="1">
      <alignment horizontal="right" vertical="center" wrapText="1"/>
      <protection locked="0"/>
    </xf>
    <xf numFmtId="10" fontId="6" fillId="0" borderId="28" xfId="0" applyNumberFormat="1" applyFont="1" applyBorder="1" applyAlignment="1" applyProtection="1">
      <alignment horizontal="right" vertical="center" wrapText="1"/>
      <protection locked="0"/>
    </xf>
    <xf numFmtId="10" fontId="6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3" fillId="20" borderId="39" xfId="0" applyFont="1" applyFill="1" applyBorder="1" applyAlignment="1">
      <alignment horizontal="center" vertical="center"/>
    </xf>
    <xf numFmtId="0" fontId="23" fillId="20" borderId="40" xfId="0" applyFont="1" applyFill="1" applyBorder="1" applyAlignment="1">
      <alignment horizontal="center" vertical="center"/>
    </xf>
    <xf numFmtId="0" fontId="23" fillId="21" borderId="40" xfId="0" applyFont="1" applyFill="1" applyBorder="1" applyAlignment="1">
      <alignment horizontal="center" vertical="center"/>
    </xf>
    <xf numFmtId="0" fontId="23" fillId="21" borderId="41" xfId="0" applyFont="1" applyFill="1" applyBorder="1" applyAlignment="1">
      <alignment horizontal="center" vertical="center"/>
    </xf>
    <xf numFmtId="0" fontId="6" fillId="0" borderId="42" xfId="0" applyFont="1" applyBorder="1" applyAlignment="1" applyProtection="1">
      <alignment horizontal="right" wrapText="1" indent="1"/>
      <protection locked="0"/>
    </xf>
    <xf numFmtId="0" fontId="6" fillId="18" borderId="43" xfId="0" applyFont="1" applyFill="1" applyBorder="1" applyAlignment="1" applyProtection="1">
      <alignment horizontal="left" vertical="top"/>
      <protection locked="0"/>
    </xf>
    <xf numFmtId="0" fontId="6" fillId="18" borderId="11" xfId="0" applyFont="1" applyFill="1" applyBorder="1" applyAlignment="1" applyProtection="1">
      <alignment horizontal="left" vertical="top"/>
      <protection locked="0"/>
    </xf>
    <xf numFmtId="171" fontId="6" fillId="18" borderId="44" xfId="0" applyNumberFormat="1" applyFont="1" applyFill="1" applyBorder="1" applyAlignment="1" applyProtection="1">
      <alignment horizontal="right" vertical="center"/>
      <protection locked="0"/>
    </xf>
    <xf numFmtId="0" fontId="6" fillId="18" borderId="10" xfId="0" applyFont="1" applyFill="1" applyBorder="1" applyAlignment="1" applyProtection="1">
      <alignment horizontal="right" vertical="center"/>
      <protection locked="0"/>
    </xf>
    <xf numFmtId="0" fontId="6" fillId="18" borderId="11" xfId="0" quotePrefix="1" applyFont="1" applyFill="1" applyBorder="1" applyAlignment="1" applyProtection="1">
      <alignment horizontal="right" vertical="center"/>
      <protection locked="0"/>
    </xf>
    <xf numFmtId="0" fontId="6" fillId="18" borderId="11" xfId="0" applyFont="1" applyFill="1" applyBorder="1" applyAlignment="1" applyProtection="1">
      <alignment horizontal="right" vertical="center"/>
      <protection locked="0"/>
    </xf>
    <xf numFmtId="0" fontId="6" fillId="18" borderId="44" xfId="0" applyFont="1" applyFill="1" applyBorder="1" applyAlignment="1" applyProtection="1">
      <alignment horizontal="right" vertical="center"/>
      <protection locked="0"/>
    </xf>
    <xf numFmtId="0" fontId="6" fillId="18" borderId="25" xfId="0" applyFont="1" applyFill="1" applyBorder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right" wrapText="1" indent="1"/>
      <protection locked="0"/>
    </xf>
    <xf numFmtId="0" fontId="6" fillId="18" borderId="46" xfId="0" applyFont="1" applyFill="1" applyBorder="1" applyAlignment="1" applyProtection="1">
      <alignment horizontal="left" vertical="top"/>
      <protection locked="0"/>
    </xf>
    <xf numFmtId="0" fontId="6" fillId="18" borderId="14" xfId="0" applyFont="1" applyFill="1" applyBorder="1" applyAlignment="1" applyProtection="1">
      <alignment horizontal="left" vertical="top"/>
      <protection locked="0"/>
    </xf>
    <xf numFmtId="171" fontId="6" fillId="18" borderId="47" xfId="0" applyNumberFormat="1" applyFont="1" applyFill="1" applyBorder="1" applyAlignment="1" applyProtection="1">
      <alignment horizontal="right" vertical="center"/>
      <protection locked="0"/>
    </xf>
    <xf numFmtId="0" fontId="6" fillId="18" borderId="12" xfId="0" applyFont="1" applyFill="1" applyBorder="1" applyAlignment="1" applyProtection="1">
      <alignment horizontal="right" vertical="center"/>
      <protection locked="0"/>
    </xf>
    <xf numFmtId="0" fontId="6" fillId="18" borderId="14" xfId="0" applyFont="1" applyFill="1" applyBorder="1" applyAlignment="1" applyProtection="1">
      <alignment horizontal="right" vertical="center"/>
      <protection locked="0"/>
    </xf>
    <xf numFmtId="0" fontId="6" fillId="18" borderId="47" xfId="0" applyFont="1" applyFill="1" applyBorder="1" applyAlignment="1" applyProtection="1">
      <alignment horizontal="right" vertical="center"/>
      <protection locked="0"/>
    </xf>
    <xf numFmtId="0" fontId="6" fillId="18" borderId="26" xfId="0" applyFont="1" applyFill="1" applyBorder="1" applyAlignment="1" applyProtection="1">
      <alignment horizontal="right" vertical="center"/>
      <protection locked="0"/>
    </xf>
    <xf numFmtId="172" fontId="6" fillId="18" borderId="48" xfId="0" applyNumberFormat="1" applyFont="1" applyFill="1" applyBorder="1" applyAlignment="1" applyProtection="1">
      <alignment horizontal="right" vertical="center" wrapText="1" indent="1"/>
      <protection locked="0"/>
    </xf>
    <xf numFmtId="0" fontId="6" fillId="18" borderId="49" xfId="0" applyFont="1" applyFill="1" applyBorder="1" applyAlignment="1" applyProtection="1">
      <alignment horizontal="left" vertical="top"/>
      <protection locked="0"/>
    </xf>
    <xf numFmtId="0" fontId="6" fillId="18" borderId="50" xfId="0" applyFont="1" applyFill="1" applyBorder="1" applyAlignment="1" applyProtection="1">
      <alignment horizontal="left" vertical="top"/>
      <protection locked="0"/>
    </xf>
    <xf numFmtId="171" fontId="6" fillId="18" borderId="51" xfId="0" applyNumberFormat="1" applyFont="1" applyFill="1" applyBorder="1" applyAlignment="1" applyProtection="1">
      <alignment horizontal="right" vertical="center"/>
      <protection locked="0"/>
    </xf>
    <xf numFmtId="0" fontId="6" fillId="18" borderId="52" xfId="0" applyFont="1" applyFill="1" applyBorder="1" applyAlignment="1" applyProtection="1">
      <alignment horizontal="right" vertical="center"/>
      <protection locked="0"/>
    </xf>
    <xf numFmtId="0" fontId="6" fillId="18" borderId="50" xfId="0" applyFont="1" applyFill="1" applyBorder="1" applyAlignment="1" applyProtection="1">
      <alignment horizontal="right" vertical="center"/>
      <protection locked="0"/>
    </xf>
    <xf numFmtId="0" fontId="6" fillId="18" borderId="51" xfId="0" applyFont="1" applyFill="1" applyBorder="1" applyAlignment="1" applyProtection="1">
      <alignment horizontal="right" vertical="center"/>
      <protection locked="0"/>
    </xf>
    <xf numFmtId="0" fontId="6" fillId="18" borderId="53" xfId="0" applyFont="1" applyFill="1" applyBorder="1" applyAlignment="1" applyProtection="1">
      <alignment horizontal="right" vertical="center"/>
      <protection locked="0"/>
    </xf>
    <xf numFmtId="172" fontId="6" fillId="18" borderId="54" xfId="0" applyNumberFormat="1" applyFont="1" applyFill="1" applyBorder="1" applyAlignment="1" applyProtection="1">
      <alignment horizontal="right" vertical="center" wrapText="1" indent="1"/>
      <protection locked="0"/>
    </xf>
    <xf numFmtId="0" fontId="6" fillId="18" borderId="55" xfId="0" applyFont="1" applyFill="1" applyBorder="1" applyAlignment="1" applyProtection="1">
      <alignment horizontal="left" vertical="top"/>
      <protection locked="0"/>
    </xf>
    <xf numFmtId="0" fontId="6" fillId="18" borderId="56" xfId="0" applyFont="1" applyFill="1" applyBorder="1" applyAlignment="1" applyProtection="1">
      <alignment horizontal="left" vertical="top"/>
      <protection locked="0"/>
    </xf>
    <xf numFmtId="171" fontId="6" fillId="18" borderId="57" xfId="0" applyNumberFormat="1" applyFont="1" applyFill="1" applyBorder="1" applyAlignment="1" applyProtection="1">
      <alignment horizontal="right" vertical="center"/>
      <protection locked="0"/>
    </xf>
    <xf numFmtId="0" fontId="6" fillId="18" borderId="58" xfId="0" applyFont="1" applyFill="1" applyBorder="1" applyAlignment="1" applyProtection="1">
      <alignment horizontal="right" vertical="center"/>
      <protection locked="0"/>
    </xf>
    <xf numFmtId="0" fontId="6" fillId="18" borderId="56" xfId="0" applyFont="1" applyFill="1" applyBorder="1" applyAlignment="1" applyProtection="1">
      <alignment horizontal="right" vertical="center"/>
      <protection locked="0"/>
    </xf>
    <xf numFmtId="0" fontId="6" fillId="18" borderId="57" xfId="0" applyFont="1" applyFill="1" applyBorder="1" applyAlignment="1" applyProtection="1">
      <alignment horizontal="right" vertical="center"/>
      <protection locked="0"/>
    </xf>
    <xf numFmtId="0" fontId="6" fillId="18" borderId="59" xfId="0" applyFont="1" applyFill="1" applyBorder="1" applyAlignment="1" applyProtection="1">
      <alignment horizontal="right" vertical="center"/>
      <protection locked="0"/>
    </xf>
    <xf numFmtId="0" fontId="23" fillId="19" borderId="9" xfId="0" applyFont="1" applyFill="1" applyBorder="1" applyAlignment="1">
      <alignment horizontal="center" vertical="center" wrapText="1"/>
    </xf>
    <xf numFmtId="0" fontId="6" fillId="18" borderId="10" xfId="1" applyNumberFormat="1" applyFont="1" applyFill="1" applyBorder="1" applyAlignment="1" applyProtection="1">
      <alignment horizontal="left" vertical="top"/>
      <protection locked="0"/>
    </xf>
    <xf numFmtId="0" fontId="6" fillId="18" borderId="11" xfId="1" applyNumberFormat="1" applyFont="1" applyFill="1" applyBorder="1" applyAlignment="1" applyProtection="1">
      <alignment horizontal="left" vertical="top"/>
      <protection locked="0"/>
    </xf>
    <xf numFmtId="0" fontId="6" fillId="18" borderId="25" xfId="1" applyNumberFormat="1" applyFont="1" applyFill="1" applyBorder="1" applyAlignment="1" applyProtection="1">
      <alignment horizontal="left" vertical="top"/>
      <protection locked="0"/>
    </xf>
    <xf numFmtId="0" fontId="6" fillId="22" borderId="25" xfId="1" applyNumberFormat="1" applyFont="1" applyFill="1" applyBorder="1" applyAlignment="1" applyProtection="1">
      <alignment horizontal="left" vertical="top"/>
      <protection locked="0"/>
    </xf>
    <xf numFmtId="0" fontId="6" fillId="18" borderId="12" xfId="1" applyNumberFormat="1" applyFont="1" applyFill="1" applyBorder="1" applyAlignment="1" applyProtection="1">
      <alignment horizontal="left" vertical="top"/>
      <protection locked="0"/>
    </xf>
    <xf numFmtId="0" fontId="6" fillId="18" borderId="14" xfId="1" applyNumberFormat="1" applyFont="1" applyFill="1" applyBorder="1" applyAlignment="1" applyProtection="1">
      <alignment horizontal="left" vertical="top"/>
      <protection locked="0"/>
    </xf>
    <xf numFmtId="0" fontId="6" fillId="18" borderId="26" xfId="1" applyNumberFormat="1" applyFont="1" applyFill="1" applyBorder="1" applyAlignment="1" applyProtection="1">
      <alignment horizontal="left" vertical="top"/>
      <protection locked="0"/>
    </xf>
    <xf numFmtId="0" fontId="6" fillId="22" borderId="26" xfId="1" applyNumberFormat="1" applyFont="1" applyFill="1" applyBorder="1" applyAlignment="1" applyProtection="1">
      <alignment horizontal="left" vertical="top"/>
      <protection locked="0"/>
    </xf>
    <xf numFmtId="0" fontId="6" fillId="18" borderId="15" xfId="1" applyNumberFormat="1" applyFont="1" applyFill="1" applyBorder="1" applyAlignment="1" applyProtection="1">
      <alignment horizontal="left" vertical="top"/>
      <protection locked="0"/>
    </xf>
    <xf numFmtId="0" fontId="6" fillId="18" borderId="16" xfId="1" applyNumberFormat="1" applyFont="1" applyFill="1" applyBorder="1" applyAlignment="1" applyProtection="1">
      <alignment horizontal="left" vertical="top"/>
      <protection locked="0"/>
    </xf>
    <xf numFmtId="0" fontId="6" fillId="18" borderId="27" xfId="1" applyNumberFormat="1" applyFont="1" applyFill="1" applyBorder="1" applyAlignment="1" applyProtection="1">
      <alignment horizontal="left" vertical="top"/>
      <protection locked="0"/>
    </xf>
    <xf numFmtId="0" fontId="6" fillId="22" borderId="27" xfId="1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vertical="center"/>
    </xf>
    <xf numFmtId="0" fontId="0" fillId="23" borderId="0" xfId="0" applyFill="1"/>
    <xf numFmtId="0" fontId="0" fillId="4" borderId="63" xfId="0" applyFill="1" applyBorder="1"/>
    <xf numFmtId="0" fontId="4" fillId="0" borderId="30" xfId="0" applyFont="1" applyBorder="1" applyAlignment="1">
      <alignment horizontal="right" wrapText="1" indent="1"/>
    </xf>
    <xf numFmtId="0" fontId="4" fillId="0" borderId="64" xfId="0" applyFont="1" applyBorder="1" applyAlignment="1">
      <alignment horizontal="left" wrapText="1" indent="1"/>
    </xf>
    <xf numFmtId="0" fontId="4" fillId="4" borderId="65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8" borderId="68" xfId="0" applyFill="1" applyBorder="1" applyAlignment="1">
      <alignment horizontal="right" indent="1"/>
    </xf>
    <xf numFmtId="0" fontId="0" fillId="8" borderId="69" xfId="0" applyFill="1" applyBorder="1" applyAlignment="1">
      <alignment horizontal="left" indent="1"/>
    </xf>
    <xf numFmtId="1" fontId="29" fillId="18" borderId="10" xfId="0" applyNumberFormat="1" applyFont="1" applyFill="1" applyBorder="1" applyAlignment="1" applyProtection="1">
      <alignment horizontal="right" vertical="center"/>
      <protection locked="0"/>
    </xf>
    <xf numFmtId="1" fontId="29" fillId="18" borderId="44" xfId="0" applyNumberFormat="1" applyFont="1" applyFill="1" applyBorder="1" applyAlignment="1" applyProtection="1">
      <alignment horizontal="right" vertical="center"/>
      <protection locked="0"/>
    </xf>
    <xf numFmtId="166" fontId="7" fillId="6" borderId="70" xfId="2" applyBorder="1">
      <alignment horizontal="right"/>
      <protection locked="0"/>
    </xf>
    <xf numFmtId="0" fontId="0" fillId="8" borderId="71" xfId="0" applyFill="1" applyBorder="1" applyAlignment="1">
      <alignment horizontal="right" indent="1"/>
    </xf>
    <xf numFmtId="0" fontId="0" fillId="8" borderId="72" xfId="0" applyFill="1" applyBorder="1" applyAlignment="1">
      <alignment horizontal="left" indent="1"/>
    </xf>
    <xf numFmtId="1" fontId="29" fillId="18" borderId="12" xfId="0" applyNumberFormat="1" applyFont="1" applyFill="1" applyBorder="1" applyAlignment="1" applyProtection="1">
      <alignment horizontal="right" vertical="center"/>
      <protection locked="0"/>
    </xf>
    <xf numFmtId="1" fontId="29" fillId="18" borderId="47" xfId="0" applyNumberFormat="1" applyFont="1" applyFill="1" applyBorder="1" applyAlignment="1" applyProtection="1">
      <alignment horizontal="right" vertical="center"/>
      <protection locked="0"/>
    </xf>
    <xf numFmtId="166" fontId="7" fillId="6" borderId="73" xfId="2" applyBorder="1">
      <alignment horizontal="right"/>
      <protection locked="0"/>
    </xf>
    <xf numFmtId="0" fontId="0" fillId="8" borderId="74" xfId="0" applyFill="1" applyBorder="1" applyAlignment="1">
      <alignment horizontal="left" indent="1"/>
    </xf>
    <xf numFmtId="1" fontId="29" fillId="18" borderId="15" xfId="0" applyNumberFormat="1" applyFont="1" applyFill="1" applyBorder="1" applyAlignment="1" applyProtection="1">
      <alignment horizontal="right" vertical="center"/>
      <protection locked="0"/>
    </xf>
    <xf numFmtId="1" fontId="29" fillId="18" borderId="75" xfId="0" applyNumberFormat="1" applyFont="1" applyFill="1" applyBorder="1" applyAlignment="1" applyProtection="1">
      <alignment horizontal="right" vertical="center"/>
      <protection locked="0"/>
    </xf>
    <xf numFmtId="166" fontId="7" fillId="6" borderId="76" xfId="2" applyBorder="1">
      <alignment horizontal="right"/>
      <protection locked="0"/>
    </xf>
    <xf numFmtId="0" fontId="31" fillId="5" borderId="77" xfId="0" applyFont="1" applyFill="1" applyBorder="1"/>
    <xf numFmtId="0" fontId="7" fillId="5" borderId="78" xfId="0" applyFont="1" applyFill="1" applyBorder="1"/>
    <xf numFmtId="3" fontId="7" fillId="5" borderId="79" xfId="0" applyNumberFormat="1" applyFont="1" applyFill="1" applyBorder="1" applyProtection="1">
      <protection locked="0"/>
    </xf>
    <xf numFmtId="3" fontId="7" fillId="5" borderId="80" xfId="0" applyNumberFormat="1" applyFont="1" applyFill="1" applyBorder="1" applyProtection="1">
      <protection locked="0"/>
    </xf>
    <xf numFmtId="172" fontId="31" fillId="5" borderId="81" xfId="0" applyNumberFormat="1" applyFont="1" applyFill="1" applyBorder="1" applyProtection="1">
      <protection locked="0"/>
    </xf>
    <xf numFmtId="0" fontId="29" fillId="18" borderId="10" xfId="0" applyFont="1" applyFill="1" applyBorder="1" applyAlignment="1" applyProtection="1">
      <alignment horizontal="right" vertical="center"/>
      <protection locked="0"/>
    </xf>
    <xf numFmtId="0" fontId="29" fillId="18" borderId="44" xfId="0" applyFont="1" applyFill="1" applyBorder="1" applyAlignment="1" applyProtection="1">
      <alignment horizontal="right" vertical="center"/>
      <protection locked="0"/>
    </xf>
    <xf numFmtId="0" fontId="29" fillId="18" borderId="12" xfId="0" applyFont="1" applyFill="1" applyBorder="1" applyAlignment="1" applyProtection="1">
      <alignment horizontal="right" vertical="center"/>
      <protection locked="0"/>
    </xf>
    <xf numFmtId="0" fontId="29" fillId="18" borderId="47" xfId="0" applyFont="1" applyFill="1" applyBorder="1" applyAlignment="1" applyProtection="1">
      <alignment horizontal="right" vertical="center"/>
      <protection locked="0"/>
    </xf>
    <xf numFmtId="0" fontId="29" fillId="18" borderId="15" xfId="0" applyFont="1" applyFill="1" applyBorder="1" applyAlignment="1" applyProtection="1">
      <alignment horizontal="right" vertical="center"/>
      <protection locked="0"/>
    </xf>
    <xf numFmtId="0" fontId="29" fillId="18" borderId="75" xfId="0" applyFont="1" applyFill="1" applyBorder="1" applyAlignment="1" applyProtection="1">
      <alignment horizontal="right" vertical="center"/>
      <protection locked="0"/>
    </xf>
    <xf numFmtId="0" fontId="0" fillId="8" borderId="54" xfId="0" applyFill="1" applyBorder="1" applyAlignment="1">
      <alignment horizontal="right" indent="1"/>
    </xf>
    <xf numFmtId="3" fontId="6" fillId="18" borderId="10" xfId="0" applyNumberFormat="1" applyFont="1" applyFill="1" applyBorder="1" applyAlignment="1" applyProtection="1">
      <alignment horizontal="right" vertical="center"/>
      <protection locked="0"/>
    </xf>
    <xf numFmtId="3" fontId="6" fillId="18" borderId="44" xfId="0" applyNumberFormat="1" applyFont="1" applyFill="1" applyBorder="1" applyAlignment="1" applyProtection="1">
      <alignment horizontal="right" vertical="center"/>
      <protection locked="0"/>
    </xf>
    <xf numFmtId="3" fontId="6" fillId="18" borderId="12" xfId="0" applyNumberFormat="1" applyFont="1" applyFill="1" applyBorder="1" applyAlignment="1" applyProtection="1">
      <alignment horizontal="right" vertical="center"/>
      <protection locked="0"/>
    </xf>
    <xf numFmtId="3" fontId="6" fillId="18" borderId="47" xfId="0" applyNumberFormat="1" applyFont="1" applyFill="1" applyBorder="1" applyAlignment="1" applyProtection="1">
      <alignment horizontal="right" vertical="center"/>
      <protection locked="0"/>
    </xf>
    <xf numFmtId="3" fontId="6" fillId="18" borderId="15" xfId="0" applyNumberFormat="1" applyFont="1" applyFill="1" applyBorder="1" applyAlignment="1" applyProtection="1">
      <alignment horizontal="right" vertical="center"/>
      <protection locked="0"/>
    </xf>
    <xf numFmtId="3" fontId="6" fillId="18" borderId="75" xfId="0" applyNumberFormat="1" applyFont="1" applyFill="1" applyBorder="1" applyAlignment="1" applyProtection="1">
      <alignment horizontal="right" vertical="center"/>
      <protection locked="0"/>
    </xf>
    <xf numFmtId="0" fontId="31" fillId="5" borderId="82" xfId="0" applyFont="1" applyFill="1" applyBorder="1"/>
    <xf numFmtId="0" fontId="2" fillId="2" borderId="0" xfId="7" applyFont="1" applyFill="1" applyAlignment="1">
      <alignment vertical="center"/>
    </xf>
    <xf numFmtId="0" fontId="23" fillId="13" borderId="0" xfId="5" applyFont="1"/>
    <xf numFmtId="0" fontId="23" fillId="13" borderId="7" xfId="5" applyFont="1" applyBorder="1"/>
    <xf numFmtId="0" fontId="23" fillId="13" borderId="84" xfId="5" applyFont="1" applyBorder="1" applyAlignment="1">
      <alignment horizontal="center" vertical="top" wrapText="1"/>
    </xf>
    <xf numFmtId="0" fontId="23" fillId="13" borderId="30" xfId="5" applyFont="1" applyBorder="1" applyAlignment="1">
      <alignment horizontal="right" vertical="center" wrapText="1" indent="1"/>
    </xf>
    <xf numFmtId="0" fontId="23" fillId="13" borderId="64" xfId="5" applyFont="1" applyBorder="1" applyAlignment="1">
      <alignment horizontal="center" vertical="center" wrapText="1"/>
    </xf>
    <xf numFmtId="0" fontId="23" fillId="13" borderId="65" xfId="5" applyFont="1" applyBorder="1" applyAlignment="1">
      <alignment horizontal="center" vertical="center" wrapText="1"/>
    </xf>
    <xf numFmtId="0" fontId="23" fillId="13" borderId="66" xfId="5" applyFont="1" applyBorder="1" applyAlignment="1">
      <alignment horizontal="center" vertical="center" wrapText="1"/>
    </xf>
    <xf numFmtId="0" fontId="23" fillId="13" borderId="67" xfId="5" applyFont="1" applyBorder="1" applyAlignment="1">
      <alignment horizontal="center" vertical="center" wrapText="1"/>
    </xf>
    <xf numFmtId="0" fontId="23" fillId="13" borderId="2" xfId="5" applyFont="1" applyBorder="1" applyAlignment="1">
      <alignment horizontal="center" vertical="center" wrapText="1"/>
    </xf>
    <xf numFmtId="1" fontId="6" fillId="24" borderId="85" xfId="0" applyNumberFormat="1" applyFont="1" applyFill="1" applyBorder="1" applyAlignment="1" applyProtection="1">
      <alignment horizontal="right" vertical="center"/>
      <protection locked="0"/>
    </xf>
    <xf numFmtId="0" fontId="23" fillId="13" borderId="86" xfId="5" applyFont="1" applyBorder="1" applyAlignment="1">
      <alignment horizontal="right" wrapText="1" indent="1"/>
    </xf>
    <xf numFmtId="0" fontId="23" fillId="13" borderId="87" xfId="5" applyFont="1" applyBorder="1" applyAlignment="1">
      <alignment horizontal="left" wrapText="1" indent="1"/>
    </xf>
    <xf numFmtId="0" fontId="23" fillId="13" borderId="87" xfId="5" applyFont="1" applyBorder="1" applyAlignment="1">
      <alignment horizontal="center" vertical="center" wrapText="1"/>
    </xf>
    <xf numFmtId="0" fontId="23" fillId="13" borderId="88" xfId="5" applyFont="1" applyBorder="1" applyAlignment="1">
      <alignment horizontal="center" vertical="center" wrapText="1"/>
    </xf>
    <xf numFmtId="0" fontId="4" fillId="0" borderId="89" xfId="0" applyFont="1" applyBorder="1" applyAlignment="1">
      <alignment horizontal="right" wrapText="1" indent="1"/>
    </xf>
    <xf numFmtId="0" fontId="4" fillId="0" borderId="85" xfId="0" applyFont="1" applyBorder="1" applyAlignment="1">
      <alignment horizontal="left" wrapText="1" indent="1"/>
    </xf>
    <xf numFmtId="0" fontId="0" fillId="8" borderId="85" xfId="0" applyFill="1" applyBorder="1"/>
    <xf numFmtId="0" fontId="4" fillId="0" borderId="85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172" fontId="7" fillId="24" borderId="85" xfId="0" applyNumberFormat="1" applyFont="1" applyFill="1" applyBorder="1"/>
    <xf numFmtId="0" fontId="23" fillId="14" borderId="21" xfId="6" applyFont="1" applyBorder="1" applyAlignment="1">
      <alignment horizontal="right" indent="1"/>
    </xf>
    <xf numFmtId="0" fontId="0" fillId="12" borderId="21" xfId="4" applyFont="1" applyAlignment="1">
      <alignment horizontal="left" indent="1"/>
    </xf>
    <xf numFmtId="1" fontId="6" fillId="12" borderId="21" xfId="4" applyNumberFormat="1" applyFont="1" applyAlignment="1" applyProtection="1">
      <alignment horizontal="right" vertical="center"/>
      <protection locked="0"/>
    </xf>
    <xf numFmtId="172" fontId="7" fillId="12" borderId="21" xfId="4" applyNumberFormat="1" applyFont="1"/>
    <xf numFmtId="0" fontId="0" fillId="8" borderId="0" xfId="0" applyFill="1" applyAlignment="1">
      <alignment horizontal="center" vertical="center"/>
    </xf>
    <xf numFmtId="0" fontId="0" fillId="12" borderId="21" xfId="4" applyFont="1" applyAlignment="1">
      <alignment horizontal="center" vertical="center"/>
    </xf>
    <xf numFmtId="0" fontId="23" fillId="8" borderId="89" xfId="0" applyFont="1" applyFill="1" applyBorder="1" applyAlignment="1">
      <alignment horizontal="right" indent="1"/>
    </xf>
    <xf numFmtId="0" fontId="0" fillId="8" borderId="85" xfId="0" applyFill="1" applyBorder="1" applyAlignment="1">
      <alignment horizontal="left" indent="1"/>
    </xf>
    <xf numFmtId="1" fontId="6" fillId="24" borderId="90" xfId="0" applyNumberFormat="1" applyFont="1" applyFill="1" applyBorder="1" applyAlignment="1" applyProtection="1">
      <alignment horizontal="right" vertical="center"/>
      <protection locked="0"/>
    </xf>
    <xf numFmtId="0" fontId="23" fillId="8" borderId="91" xfId="0" applyFont="1" applyFill="1" applyBorder="1" applyAlignment="1">
      <alignment horizontal="right" indent="1"/>
    </xf>
    <xf numFmtId="0" fontId="0" fillId="8" borderId="92" xfId="0" applyFill="1" applyBorder="1" applyAlignment="1">
      <alignment horizontal="left" indent="1"/>
    </xf>
    <xf numFmtId="1" fontId="6" fillId="24" borderId="92" xfId="0" applyNumberFormat="1" applyFont="1" applyFill="1" applyBorder="1" applyAlignment="1" applyProtection="1">
      <alignment horizontal="right" vertical="center"/>
      <protection locked="0"/>
    </xf>
    <xf numFmtId="1" fontId="6" fillId="24" borderId="93" xfId="0" applyNumberFormat="1" applyFont="1" applyFill="1" applyBorder="1" applyAlignment="1" applyProtection="1">
      <alignment horizontal="right" vertical="center"/>
      <protection locked="0"/>
    </xf>
    <xf numFmtId="172" fontId="7" fillId="5" borderId="79" xfId="0" applyNumberFormat="1" applyFont="1" applyFill="1" applyBorder="1"/>
    <xf numFmtId="172" fontId="7" fillId="5" borderId="80" xfId="0" applyNumberFormat="1" applyFont="1" applyFill="1" applyBorder="1"/>
    <xf numFmtId="0" fontId="23" fillId="8" borderId="0" xfId="0" applyFont="1" applyFill="1"/>
    <xf numFmtId="0" fontId="23" fillId="8" borderId="0" xfId="0" applyFont="1" applyFill="1" applyAlignment="1">
      <alignment horizontal="right"/>
    </xf>
    <xf numFmtId="1" fontId="31" fillId="5" borderId="81" xfId="0" applyNumberFormat="1" applyFont="1" applyFill="1" applyBorder="1"/>
    <xf numFmtId="0" fontId="23" fillId="8" borderId="0" xfId="0" applyFont="1" applyFill="1" applyAlignment="1">
      <alignment horizontal="right" vertical="center"/>
    </xf>
    <xf numFmtId="172" fontId="31" fillId="5" borderId="81" xfId="0" applyNumberFormat="1" applyFont="1" applyFill="1" applyBorder="1"/>
    <xf numFmtId="1" fontId="0" fillId="8" borderId="0" xfId="0" applyNumberFormat="1" applyFill="1"/>
    <xf numFmtId="0" fontId="32" fillId="0" borderId="0" xfId="0" applyFont="1" applyAlignment="1">
      <alignment horizontal="justify" vertical="center"/>
    </xf>
    <xf numFmtId="0" fontId="36" fillId="0" borderId="96" xfId="0" applyFont="1" applyBorder="1" applyAlignment="1">
      <alignment horizontal="justify" vertical="center" wrapText="1"/>
    </xf>
    <xf numFmtId="0" fontId="35" fillId="0" borderId="7" xfId="0" applyFont="1" applyBorder="1" applyAlignment="1">
      <alignment horizontal="justify" vertical="center" wrapText="1"/>
    </xf>
    <xf numFmtId="0" fontId="35" fillId="0" borderId="96" xfId="0" applyFont="1" applyBorder="1" applyAlignment="1">
      <alignment horizontal="justify" vertical="center" wrapText="1"/>
    </xf>
    <xf numFmtId="0" fontId="37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34" fillId="25" borderId="81" xfId="0" applyFont="1" applyFill="1" applyBorder="1" applyAlignment="1">
      <alignment horizontal="justify" vertical="center" wrapText="1"/>
    </xf>
    <xf numFmtId="0" fontId="34" fillId="25" borderId="84" xfId="0" applyFont="1" applyFill="1" applyBorder="1" applyAlignment="1">
      <alignment horizontal="right" vertical="center" wrapText="1"/>
    </xf>
    <xf numFmtId="0" fontId="35" fillId="0" borderId="7" xfId="0" applyFont="1" applyBorder="1" applyAlignment="1">
      <alignment horizontal="right" vertical="center" wrapText="1"/>
    </xf>
    <xf numFmtId="0" fontId="36" fillId="0" borderId="7" xfId="0" applyFont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94" xfId="0" applyFont="1" applyBorder="1" applyAlignment="1">
      <alignment vertical="center"/>
    </xf>
    <xf numFmtId="0" fontId="35" fillId="0" borderId="7" xfId="0" applyFont="1" applyBorder="1" applyAlignment="1">
      <alignment horizontal="center" vertical="center" wrapText="1"/>
    </xf>
    <xf numFmtId="0" fontId="36" fillId="19" borderId="96" xfId="0" applyFont="1" applyFill="1" applyBorder="1" applyAlignment="1">
      <alignment horizontal="justify" vertical="center" wrapText="1"/>
    </xf>
    <xf numFmtId="2" fontId="35" fillId="0" borderId="7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173" fontId="0" fillId="0" borderId="0" xfId="0" applyNumberFormat="1"/>
    <xf numFmtId="0" fontId="6" fillId="0" borderId="17" xfId="0" applyFont="1" applyBorder="1" applyAlignment="1">
      <alignment vertical="center" wrapText="1"/>
    </xf>
    <xf numFmtId="0" fontId="23" fillId="0" borderId="0" xfId="0" applyFont="1"/>
    <xf numFmtId="172" fontId="0" fillId="0" borderId="0" xfId="0" applyNumberForma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2" fontId="35" fillId="0" borderId="7" xfId="0" applyNumberFormat="1" applyFont="1" applyBorder="1" applyAlignment="1">
      <alignment horizontal="justify" vertical="center" wrapText="1"/>
    </xf>
    <xf numFmtId="2" fontId="35" fillId="0" borderId="7" xfId="0" applyNumberFormat="1" applyFont="1" applyBorder="1" applyAlignment="1">
      <alignment horizontal="center" vertical="center" wrapText="1"/>
    </xf>
    <xf numFmtId="0" fontId="34" fillId="25" borderId="2" xfId="0" applyFont="1" applyFill="1" applyBorder="1" applyAlignment="1">
      <alignment horizontal="center" vertical="center" wrapText="1"/>
    </xf>
    <xf numFmtId="0" fontId="34" fillId="25" borderId="7" xfId="0" applyFont="1" applyFill="1" applyBorder="1" applyAlignment="1">
      <alignment horizontal="center" vertical="center" wrapText="1"/>
    </xf>
    <xf numFmtId="172" fontId="35" fillId="0" borderId="7" xfId="0" applyNumberFormat="1" applyFont="1" applyBorder="1" applyAlignment="1">
      <alignment horizontal="center" vertical="center" wrapText="1"/>
    </xf>
    <xf numFmtId="1" fontId="35" fillId="0" borderId="7" xfId="0" applyNumberFormat="1" applyFont="1" applyBorder="1" applyAlignment="1">
      <alignment horizontal="center" vertical="center" wrapText="1"/>
    </xf>
    <xf numFmtId="0" fontId="38" fillId="8" borderId="0" xfId="3" applyFont="1"/>
    <xf numFmtId="0" fontId="4" fillId="26" borderId="0" xfId="0" applyFont="1" applyFill="1"/>
    <xf numFmtId="0" fontId="23" fillId="27" borderId="97" xfId="0" applyFont="1" applyFill="1" applyBorder="1"/>
    <xf numFmtId="0" fontId="0" fillId="27" borderId="97" xfId="0" applyFill="1" applyBorder="1"/>
    <xf numFmtId="0" fontId="5" fillId="26" borderId="0" xfId="0" applyFont="1" applyFill="1"/>
    <xf numFmtId="164" fontId="6" fillId="28" borderId="0" xfId="8" applyFont="1" applyFill="1" applyBorder="1"/>
    <xf numFmtId="164" fontId="6" fillId="26" borderId="98" xfId="0" applyNumberFormat="1" applyFont="1" applyFill="1" applyBorder="1"/>
    <xf numFmtId="169" fontId="35" fillId="0" borderId="7" xfId="0" applyNumberFormat="1" applyFont="1" applyFill="1" applyBorder="1" applyAlignment="1">
      <alignment horizontal="right" vertical="center" wrapText="1"/>
    </xf>
    <xf numFmtId="0" fontId="39" fillId="29" borderId="99" xfId="0" applyFont="1" applyFill="1" applyBorder="1" applyAlignment="1">
      <alignment horizontal="right" vertical="center"/>
    </xf>
    <xf numFmtId="174" fontId="0" fillId="0" borderId="0" xfId="0" applyNumberFormat="1"/>
    <xf numFmtId="10" fontId="35" fillId="0" borderId="7" xfId="1" applyNumberFormat="1" applyFont="1" applyBorder="1" applyAlignment="1">
      <alignment horizontal="right" vertical="center" wrapText="1"/>
    </xf>
    <xf numFmtId="1" fontId="35" fillId="0" borderId="7" xfId="0" applyNumberFormat="1" applyFont="1" applyBorder="1" applyAlignment="1">
      <alignment horizontal="right" vertical="center" wrapText="1"/>
    </xf>
    <xf numFmtId="2" fontId="35" fillId="0" borderId="7" xfId="0" applyNumberFormat="1" applyFont="1" applyFill="1" applyBorder="1" applyAlignment="1">
      <alignment horizontal="right" vertical="center" wrapText="1"/>
    </xf>
    <xf numFmtId="10" fontId="35" fillId="0" borderId="7" xfId="1" applyNumberFormat="1" applyFont="1" applyBorder="1" applyAlignment="1">
      <alignment horizontal="center" vertical="center" wrapText="1"/>
    </xf>
    <xf numFmtId="1" fontId="35" fillId="0" borderId="7" xfId="0" applyNumberFormat="1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5" fillId="0" borderId="0" xfId="0" applyFont="1" applyFill="1"/>
    <xf numFmtId="169" fontId="5" fillId="0" borderId="0" xfId="0" applyNumberFormat="1" applyFont="1" applyFill="1"/>
    <xf numFmtId="170" fontId="5" fillId="0" borderId="0" xfId="0" applyNumberFormat="1" applyFont="1" applyFill="1"/>
    <xf numFmtId="0" fontId="19" fillId="11" borderId="0" xfId="0" applyFont="1" applyFill="1" applyAlignment="1">
      <alignment horizontal="left" vertical="top"/>
    </xf>
    <xf numFmtId="0" fontId="19" fillId="0" borderId="0" xfId="0" applyFont="1" applyFill="1"/>
    <xf numFmtId="1" fontId="19" fillId="0" borderId="0" xfId="0" applyNumberFormat="1" applyFont="1" applyFill="1"/>
    <xf numFmtId="0" fontId="40" fillId="8" borderId="0" xfId="3" applyFont="1"/>
    <xf numFmtId="0" fontId="19" fillId="8" borderId="0" xfId="0" applyFont="1" applyFill="1"/>
    <xf numFmtId="0" fontId="19" fillId="0" borderId="0" xfId="0" quotePrefix="1" applyFont="1" applyFill="1" applyAlignment="1">
      <alignment horizontal="right"/>
    </xf>
    <xf numFmtId="0" fontId="34" fillId="25" borderId="95" xfId="0" applyFont="1" applyFill="1" applyBorder="1" applyAlignment="1">
      <alignment horizontal="right" vertical="center" wrapText="1"/>
    </xf>
    <xf numFmtId="0" fontId="34" fillId="25" borderId="96" xfId="0" applyFont="1" applyFill="1" applyBorder="1" applyAlignment="1">
      <alignment horizontal="right" vertical="center" wrapText="1"/>
    </xf>
    <xf numFmtId="0" fontId="34" fillId="25" borderId="95" xfId="0" applyFont="1" applyFill="1" applyBorder="1" applyAlignment="1">
      <alignment horizontal="justify" vertical="center" wrapText="1"/>
    </xf>
    <xf numFmtId="0" fontId="34" fillId="25" borderId="96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17" fillId="8" borderId="0" xfId="3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23" fillId="4" borderId="6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61" xfId="0" applyFont="1" applyFill="1" applyBorder="1" applyAlignment="1">
      <alignment horizontal="center"/>
    </xf>
    <xf numFmtId="0" fontId="23" fillId="4" borderId="62" xfId="0" applyFont="1" applyFill="1" applyBorder="1" applyAlignment="1">
      <alignment horizontal="center"/>
    </xf>
    <xf numFmtId="0" fontId="23" fillId="3" borderId="62" xfId="0" applyFont="1" applyFill="1" applyBorder="1" applyAlignment="1">
      <alignment horizontal="center"/>
    </xf>
    <xf numFmtId="0" fontId="23" fillId="13" borderId="1" xfId="5" applyFont="1" applyBorder="1" applyAlignment="1">
      <alignment horizontal="center"/>
    </xf>
    <xf numFmtId="0" fontId="23" fillId="13" borderId="83" xfId="5" applyFont="1" applyBorder="1" applyAlignment="1">
      <alignment horizontal="center"/>
    </xf>
    <xf numFmtId="0" fontId="23" fillId="13" borderId="84" xfId="5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3" fillId="19" borderId="30" xfId="0" applyFont="1" applyFill="1" applyBorder="1" applyAlignment="1">
      <alignment horizontal="right" vertical="center"/>
    </xf>
    <xf numFmtId="0" fontId="23" fillId="19" borderId="36" xfId="0" applyFont="1" applyFill="1" applyBorder="1" applyAlignment="1">
      <alignment horizontal="right" vertical="center"/>
    </xf>
    <xf numFmtId="0" fontId="23" fillId="19" borderId="31" xfId="0" applyFont="1" applyFill="1" applyBorder="1" applyAlignment="1">
      <alignment horizontal="center" vertical="center" wrapText="1"/>
    </xf>
    <xf numFmtId="0" fontId="23" fillId="19" borderId="37" xfId="0" applyFont="1" applyFill="1" applyBorder="1" applyAlignment="1">
      <alignment horizontal="center" vertical="center" wrapText="1"/>
    </xf>
    <xf numFmtId="0" fontId="23" fillId="19" borderId="32" xfId="0" applyFont="1" applyFill="1" applyBorder="1" applyAlignment="1">
      <alignment horizontal="center" vertical="center" wrapText="1"/>
    </xf>
    <xf numFmtId="0" fontId="23" fillId="19" borderId="38" xfId="0" applyFont="1" applyFill="1" applyBorder="1" applyAlignment="1">
      <alignment horizontal="center" vertical="center" wrapText="1"/>
    </xf>
    <xf numFmtId="0" fontId="23" fillId="20" borderId="33" xfId="0" applyFont="1" applyFill="1" applyBorder="1" applyAlignment="1">
      <alignment horizontal="center" vertical="center"/>
    </xf>
    <xf numFmtId="0" fontId="23" fillId="20" borderId="34" xfId="0" applyFont="1" applyFill="1" applyBorder="1" applyAlignment="1">
      <alignment horizontal="center" vertical="center"/>
    </xf>
    <xf numFmtId="0" fontId="23" fillId="20" borderId="35" xfId="0" applyFont="1" applyFill="1" applyBorder="1" applyAlignment="1">
      <alignment horizontal="center" vertical="center"/>
    </xf>
    <xf numFmtId="0" fontId="7" fillId="17" borderId="23" xfId="0" applyFont="1" applyFill="1" applyBorder="1" applyAlignment="1">
      <alignment horizontal="left" vertical="center" wrapText="1"/>
    </xf>
    <xf numFmtId="0" fontId="7" fillId="17" borderId="2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9">
    <cellStyle name="20% - Accent1" xfId="5" builtinId="30"/>
    <cellStyle name="20% - Accent6" xfId="6" builtinId="50"/>
    <cellStyle name="Comma" xfId="8" builtinId="3"/>
    <cellStyle name="dms_NUM" xfId="2" xr:uid="{E109E0D5-06FA-466F-9E7F-E5F71C0A9398}"/>
    <cellStyle name="Normal" xfId="0" builtinId="0"/>
    <cellStyle name="Normal 114" xfId="7" xr:uid="{71BCDF51-131E-49FB-8113-7603E7AB44AE}"/>
    <cellStyle name="Normal 2" xfId="3" xr:uid="{3895DB19-1896-477C-AC9B-85E7C69A2B75}"/>
    <cellStyle name="Note" xfId="4" builtinId="10"/>
    <cellStyle name="Percent" xfId="1" builtinId="5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428625</xdr:colOff>
      <xdr:row>59</xdr:row>
      <xdr:rowOff>47625</xdr:rowOff>
    </xdr:from>
    <xdr:ext cx="76200" cy="361950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ED8509BF-3D3D-48A8-A27E-5E7856ADCC95}"/>
            </a:ext>
          </a:extLst>
        </xdr:cNvPr>
        <xdr:cNvSpPr txBox="1">
          <a:spLocks noChangeArrowheads="1"/>
        </xdr:cNvSpPr>
      </xdr:nvSpPr>
      <xdr:spPr bwMode="auto">
        <a:xfrm>
          <a:off x="5819775" y="8934450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2F59E0B-4D04-42D8-B124-D6F1AD6BAFE6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61A8779B-910A-4D47-AEA5-9F9212025212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2437295-6529-4D38-81BE-22768FD37A9E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33F105B-0461-474A-B612-2851B65F865A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6DC6EA7C-9B01-4D71-B17B-027389D92DD1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9C02F4D-CCB8-4DA4-A74B-5C9020017B7A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3190FEA-C813-4A19-966D-4BF9BE92C036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DB4192F-998E-4CDF-88C9-7315ADD71045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154517</xdr:colOff>
      <xdr:row>0</xdr:row>
      <xdr:rowOff>0</xdr:rowOff>
    </xdr:from>
    <xdr:to>
      <xdr:col>0</xdr:col>
      <xdr:colOff>609599</xdr:colOff>
      <xdr:row>4</xdr:row>
      <xdr:rowOff>104775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A9F7F775-04D3-41CF-AFD0-FCC8ECCF01CB}"/>
            </a:ext>
          </a:extLst>
        </xdr:cNvPr>
        <xdr:cNvGrpSpPr>
          <a:grpSpLocks/>
        </xdr:cNvGrpSpPr>
      </xdr:nvGrpSpPr>
      <xdr:grpSpPr bwMode="auto">
        <a:xfrm>
          <a:off x="154517" y="0"/>
          <a:ext cx="455082" cy="1628775"/>
          <a:chOff x="0" y="0"/>
          <a:chExt cx="78" cy="103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83AF82E4-DD2A-42B3-9B91-77ADBBB365AE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78" cy="103"/>
            <a:chOff x="64" y="0"/>
            <a:chExt cx="78" cy="103"/>
          </a:xfrm>
        </xdr:grpSpPr>
        <xdr:sp macro="" textlink="">
          <xdr:nvSpPr>
            <xdr:cNvPr id="15" name="Rectangle 3">
              <a:extLst>
                <a:ext uri="{FF2B5EF4-FFF2-40B4-BE49-F238E27FC236}">
                  <a16:creationId xmlns:a16="http://schemas.microsoft.com/office/drawing/2014/main" id="{9D05C47E-0A4F-49AB-AE30-9FAB6D6A9E4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03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6" name="Picture 4" descr="item">
              <a:extLst>
                <a:ext uri="{FF2B5EF4-FFF2-40B4-BE49-F238E27FC236}">
                  <a16:creationId xmlns:a16="http://schemas.microsoft.com/office/drawing/2014/main" id="{593F7BD7-0268-4B1E-97DB-8126CDA1DA8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153DAC7-5585-4971-BFD1-A5F4E4D834FD}"/>
              </a:ext>
            </a:extLst>
          </xdr:cNvPr>
          <xdr:cNvSpPr>
            <a:spLocks noChangeArrowheads="1"/>
          </xdr:cNvSpPr>
        </xdr:nvSpPr>
        <xdr:spPr bwMode="auto">
          <a:xfrm>
            <a:off x="4" y="54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14" name="AutoShape 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36EA291-1EFA-4EFD-95E8-BCEB1FC920D8}"/>
              </a:ext>
            </a:extLst>
          </xdr:cNvPr>
          <xdr:cNvSpPr>
            <a:spLocks noChangeArrowheads="1"/>
          </xdr:cNvSpPr>
        </xdr:nvSpPr>
        <xdr:spPr bwMode="auto">
          <a:xfrm>
            <a:off x="4" y="75"/>
            <a:ext cx="67" cy="1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F0F76AD2-94DA-4899-AF93-1842AE2AD642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BA6EEFBE-4ED9-4111-8DCF-1049A475DDEB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639DC043-2C42-4BA4-8392-0BE5CC7FBA79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F224CE2-9244-4247-AC34-7C2144783F5A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96A8399C-32F5-4C82-B8DD-06FCB12E51B1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ACDD9581-8277-499C-9F3C-084356DF865A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EFEF9341-ECF7-44E7-B576-A8DBCA108B99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61950"/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1EA2508E-CE22-40F6-B588-84DEB3C5AEBD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F93A4437-DC3F-4155-867D-A737929979C7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98</xdr:row>
      <xdr:rowOff>47625</xdr:rowOff>
    </xdr:from>
    <xdr:ext cx="76200" cy="361950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9BE5491E-2437-4A19-A270-6503124D4167}"/>
            </a:ext>
          </a:extLst>
        </xdr:cNvPr>
        <xdr:cNvSpPr txBox="1">
          <a:spLocks noChangeArrowheads="1"/>
        </xdr:cNvSpPr>
      </xdr:nvSpPr>
      <xdr:spPr bwMode="auto">
        <a:xfrm>
          <a:off x="5819775" y="158400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C66FCFD-AD48-47E8-8E92-FA92A6A00388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406FEBD7-3D6F-4D68-BD02-05EAC2FAED58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D5ED05BE-3D5F-4F54-B36B-91520E75C112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7342E773-5631-4B9E-AC30-59113BFAB9DD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8C9181D1-D4CF-457F-8C12-B15F25F44F71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B9BE79E9-FDB7-46F9-85CD-ACDCCD3B7EFE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3550E083-DB61-4B94-9912-D536A14DC44E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EEBD0F14-87D0-4AD1-A3E5-57A69B436A38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98</xdr:row>
      <xdr:rowOff>47625</xdr:rowOff>
    </xdr:from>
    <xdr:ext cx="76200" cy="361950"/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200636EA-46DC-4D3A-820B-EC1F4AF0E4F4}"/>
            </a:ext>
          </a:extLst>
        </xdr:cNvPr>
        <xdr:cNvSpPr txBox="1">
          <a:spLocks noChangeArrowheads="1"/>
        </xdr:cNvSpPr>
      </xdr:nvSpPr>
      <xdr:spPr bwMode="auto">
        <a:xfrm>
          <a:off x="5819775" y="158400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58CD1E33-DEF3-4B7D-A63A-17ABEF9EC0DB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ED9DD0C1-FCC5-4DE3-9FE5-782FE37390B7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3A282AA8-D4CA-40DE-9F0D-C00E021CDA49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7157379-BDDC-4083-B650-8C97EC32D3BC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1FE2ADCE-DEB8-4873-BF89-61919B9161AC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7770FED7-28F8-4F48-84A1-B889D2EA5FCE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6C6736C9-35EE-48CC-85CE-5C2E13C46389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2A6F0B6D-EF5E-458C-AF41-B9189B86B904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98</xdr:row>
      <xdr:rowOff>47625</xdr:rowOff>
    </xdr:from>
    <xdr:ext cx="76200" cy="361950"/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9CCE4800-BD6D-4B72-8D6C-99A43AAD60A3}"/>
            </a:ext>
          </a:extLst>
        </xdr:cNvPr>
        <xdr:cNvSpPr txBox="1">
          <a:spLocks noChangeArrowheads="1"/>
        </xdr:cNvSpPr>
      </xdr:nvSpPr>
      <xdr:spPr bwMode="auto">
        <a:xfrm>
          <a:off x="5819775" y="158400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99215D4C-32F6-4081-A90F-6197F0AD47C7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87E40A2D-DF4A-41F8-925F-F3B44DE327F4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2B25C3D5-CD50-4E38-B956-71077FB3ED1D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103</xdr:row>
      <xdr:rowOff>47625</xdr:rowOff>
    </xdr:from>
    <xdr:ext cx="76200" cy="371475"/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5EBA3491-8D66-439C-AE80-A40EB2500813}"/>
            </a:ext>
          </a:extLst>
        </xdr:cNvPr>
        <xdr:cNvSpPr txBox="1">
          <a:spLocks noChangeArrowheads="1"/>
        </xdr:cNvSpPr>
      </xdr:nvSpPr>
      <xdr:spPr bwMode="auto">
        <a:xfrm>
          <a:off x="5819775" y="16792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B433CAA-8152-4827-8A01-2349D07A3149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97</xdr:row>
      <xdr:rowOff>47625</xdr:rowOff>
    </xdr:from>
    <xdr:ext cx="76200" cy="371475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8D2A3E38-6D09-4265-AAE1-D69A4EAA6D93}"/>
            </a:ext>
          </a:extLst>
        </xdr:cNvPr>
        <xdr:cNvSpPr txBox="1">
          <a:spLocks noChangeArrowheads="1"/>
        </xdr:cNvSpPr>
      </xdr:nvSpPr>
      <xdr:spPr bwMode="auto">
        <a:xfrm>
          <a:off x="5819775" y="156495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FA08E884-BF3C-4864-A617-5B90D45C6AA3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BA24F797-DCF7-4A75-BFC0-8D5DE7C5EF15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6134224C-3969-4216-A795-39FD686F54C6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88E50D05-B41A-4BBA-9696-04BD5042BE6A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698DD7DA-3A16-47D9-8425-2C53AEF1FEF9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1B9AF79D-4A23-4F81-A999-84E27AA9637A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8B0F7889-5BA8-46BA-AD58-79AB075B2A06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634094E2-25A0-4F8D-9A02-46C14AA0094B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5CC11E17-4A4F-45F5-A8FC-D0361E913CDF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C3E9E76-516B-4C69-806A-14A9ED7684D2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825193C0-6718-45D1-941C-71100BFD23AE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E7FAD56C-F251-43D0-BDD8-57C73AB197FE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8E848912-F9A2-4ECD-BD81-6414E010A971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17C705A2-64E6-4633-833C-10DF25A9B0E9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116</xdr:row>
      <xdr:rowOff>47625</xdr:rowOff>
    </xdr:from>
    <xdr:ext cx="76200" cy="371475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524639EB-DBDB-474B-A56B-AE61C0245B46}"/>
            </a:ext>
          </a:extLst>
        </xdr:cNvPr>
        <xdr:cNvSpPr txBox="1">
          <a:spLocks noChangeArrowheads="1"/>
        </xdr:cNvSpPr>
      </xdr:nvSpPr>
      <xdr:spPr bwMode="auto">
        <a:xfrm>
          <a:off x="5819775" y="19288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61950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657DDAD9-0554-4B22-98A1-1D9337C5C24C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110</xdr:row>
      <xdr:rowOff>47625</xdr:rowOff>
    </xdr:from>
    <xdr:ext cx="76200" cy="371475"/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6D0D0131-5AEE-4BBB-92DD-B6C696AA6421}"/>
            </a:ext>
          </a:extLst>
        </xdr:cNvPr>
        <xdr:cNvSpPr txBox="1">
          <a:spLocks noChangeArrowheads="1"/>
        </xdr:cNvSpPr>
      </xdr:nvSpPr>
      <xdr:spPr bwMode="auto">
        <a:xfrm>
          <a:off x="5819775" y="181451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124</xdr:row>
      <xdr:rowOff>47625</xdr:rowOff>
    </xdr:from>
    <xdr:ext cx="76200" cy="361950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E9936FB0-C630-4823-A9B0-B55C1F99AEC5}"/>
            </a:ext>
          </a:extLst>
        </xdr:cNvPr>
        <xdr:cNvSpPr txBox="1">
          <a:spLocks noChangeArrowheads="1"/>
        </xdr:cNvSpPr>
      </xdr:nvSpPr>
      <xdr:spPr bwMode="auto">
        <a:xfrm>
          <a:off x="5819775" y="208311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6A0C191F-355A-4FFE-9EE0-5048FBD1AB11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A5C21561-9BC6-4B8F-9910-820324787D43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C6C7DBC4-C9D4-4C83-B02B-5EDF88E0AA14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6B54D0D6-7655-4272-8AC0-E6D116DEEFC5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5DBDB2B0-23A5-41BE-A52F-AB75A033A3C9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96CD09AB-9FF7-44EC-B1AC-2273A07FD0C9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A13B4068-8488-420A-88E3-DF4CCA97BEB8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52D657DE-825F-4598-9D57-07CAB42DCE02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124</xdr:row>
      <xdr:rowOff>47625</xdr:rowOff>
    </xdr:from>
    <xdr:ext cx="76200" cy="361950"/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6C4D1B27-8F43-48A5-953E-D3F67F540674}"/>
            </a:ext>
          </a:extLst>
        </xdr:cNvPr>
        <xdr:cNvSpPr txBox="1">
          <a:spLocks noChangeArrowheads="1"/>
        </xdr:cNvSpPr>
      </xdr:nvSpPr>
      <xdr:spPr bwMode="auto">
        <a:xfrm>
          <a:off x="5819775" y="208311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C9A89862-F09A-4B44-A1D1-C95143E616BC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8FBF0A3F-AA46-45FB-ACC1-9FDAA4C612E0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43EAC585-C4DC-4228-A65D-4551D16714B1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53679572-F1EA-425E-9A94-C9696BB2C46C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7C53EB71-C022-464E-931D-A3481C865BB6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260C6E21-DED3-464C-BD06-E8190BC36631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BB253625-C836-4006-9D2B-68EBADBAA583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4CCC9406-BBF6-4873-BBA2-B8CEB0346F52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124</xdr:row>
      <xdr:rowOff>47625</xdr:rowOff>
    </xdr:from>
    <xdr:ext cx="76200" cy="361950"/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7ED39E05-7A3D-4DAB-AF62-F26F61FFA008}"/>
            </a:ext>
          </a:extLst>
        </xdr:cNvPr>
        <xdr:cNvSpPr txBox="1">
          <a:spLocks noChangeArrowheads="1"/>
        </xdr:cNvSpPr>
      </xdr:nvSpPr>
      <xdr:spPr bwMode="auto">
        <a:xfrm>
          <a:off x="5819775" y="208311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46F714C3-77F1-45E0-9A24-59215DDD4946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6A2C71E0-26A7-4634-BA97-744E61E48061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2C4A50A4-F189-41BB-B406-904A7E7507C2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129</xdr:row>
      <xdr:rowOff>47625</xdr:rowOff>
    </xdr:from>
    <xdr:ext cx="76200" cy="371475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E9B99EA4-2E09-4ADD-971D-23F4FEDA3572}"/>
            </a:ext>
          </a:extLst>
        </xdr:cNvPr>
        <xdr:cNvSpPr txBox="1">
          <a:spLocks noChangeArrowheads="1"/>
        </xdr:cNvSpPr>
      </xdr:nvSpPr>
      <xdr:spPr bwMode="auto">
        <a:xfrm>
          <a:off x="5819775" y="21783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DBB9B938-A3BA-4DC7-9D19-59726616E2EF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123</xdr:row>
      <xdr:rowOff>47625</xdr:rowOff>
    </xdr:from>
    <xdr:ext cx="76200" cy="371475"/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8BBF4198-9A75-4046-8A7F-373AEE6B9D7F}"/>
            </a:ext>
          </a:extLst>
        </xdr:cNvPr>
        <xdr:cNvSpPr txBox="1">
          <a:spLocks noChangeArrowheads="1"/>
        </xdr:cNvSpPr>
      </xdr:nvSpPr>
      <xdr:spPr bwMode="auto">
        <a:xfrm>
          <a:off x="5819775" y="206406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AE158EFD-2756-4D65-A513-D8E257059DBF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EB2E0529-5A5D-4330-8947-A3ECBE15B53E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C8F0257C-3858-4651-81F4-D231D139E32F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C1EE9538-0F80-4969-80E4-CF0640C0ABB4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7D6097AD-1839-499A-A7E5-F7282F245D8C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D8B9C93A-C055-4C06-990C-F5654B18AC2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69012FCA-75D0-4519-821D-F75798607ABB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53960618-419C-415E-B094-B6EE3B3D615F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6FDED07-6D58-499E-8DBA-122D77801956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61D2884A-A191-40AF-83B8-77B4D67BB20C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9A442EF3-1A49-46FF-A568-064465D84A21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5C1A8F9D-335F-479B-97B9-CCEC117C2EFD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A2992261-729A-45C4-970B-380DC2F113DB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8260B660-DC14-4170-AF90-54D973655A5E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142</xdr:row>
      <xdr:rowOff>47625</xdr:rowOff>
    </xdr:from>
    <xdr:ext cx="76200" cy="371475"/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C8498E5D-BFFF-495C-B9A3-69C62CDD39CF}"/>
            </a:ext>
          </a:extLst>
        </xdr:cNvPr>
        <xdr:cNvSpPr txBox="1">
          <a:spLocks noChangeArrowheads="1"/>
        </xdr:cNvSpPr>
      </xdr:nvSpPr>
      <xdr:spPr bwMode="auto">
        <a:xfrm>
          <a:off x="5819775" y="24279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61950"/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8FD6DFFE-15EC-4D85-AC78-9A708CDA6EED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136</xdr:row>
      <xdr:rowOff>47625</xdr:rowOff>
    </xdr:from>
    <xdr:ext cx="76200" cy="371475"/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BBA74737-D479-4354-9EB7-A0A8D3A6E1FD}"/>
            </a:ext>
          </a:extLst>
        </xdr:cNvPr>
        <xdr:cNvSpPr txBox="1">
          <a:spLocks noChangeArrowheads="1"/>
        </xdr:cNvSpPr>
      </xdr:nvSpPr>
      <xdr:spPr bwMode="auto">
        <a:xfrm>
          <a:off x="5819775" y="231362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150</xdr:row>
      <xdr:rowOff>47625</xdr:rowOff>
    </xdr:from>
    <xdr:ext cx="76200" cy="361950"/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B843B795-335D-48FE-AD48-8AC6EDE08136}"/>
            </a:ext>
          </a:extLst>
        </xdr:cNvPr>
        <xdr:cNvSpPr txBox="1">
          <a:spLocks noChangeArrowheads="1"/>
        </xdr:cNvSpPr>
      </xdr:nvSpPr>
      <xdr:spPr bwMode="auto">
        <a:xfrm>
          <a:off x="5819775" y="258222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C4CDCBEF-9B63-4886-8B59-2C18890C821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44F70D45-EC46-452C-9821-222A5A33D266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733F01F1-292C-4D93-9163-366AA8BE8AD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F91C413-7BFA-48FE-8600-8331B0B91CCE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8BF81E5-3678-491C-8248-6249291E3691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5B42DCD4-784E-40BC-B2FA-5F8AB4E838F9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303022A-61A4-49E6-9A9E-AF140864B4A4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63A84A40-1135-4B6B-9259-89AFC5C312F5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150</xdr:row>
      <xdr:rowOff>47625</xdr:rowOff>
    </xdr:from>
    <xdr:ext cx="76200" cy="361950"/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36BB4023-87D9-49DA-901F-A5C2135D942F}"/>
            </a:ext>
          </a:extLst>
        </xdr:cNvPr>
        <xdr:cNvSpPr txBox="1">
          <a:spLocks noChangeArrowheads="1"/>
        </xdr:cNvSpPr>
      </xdr:nvSpPr>
      <xdr:spPr bwMode="auto">
        <a:xfrm>
          <a:off x="5819775" y="258222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4AE4062-7AD8-4C4E-8B92-68BBA2DBFBC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65D283CE-8D39-4A31-9910-732EF0AA9833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7EA8C1CE-C968-4BBC-8D95-91547DF75924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F38E733-C0F9-4AF3-A2E6-0482FCD3124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1966C218-E434-4405-9E4E-38C306D582C7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AAC66C26-2ED9-49FD-95E4-2CDF2C9181FE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6A070A8E-A48D-4B98-B7F6-18832A9A3941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D52F86F2-6A93-4951-8552-FA91093560CA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150</xdr:row>
      <xdr:rowOff>47625</xdr:rowOff>
    </xdr:from>
    <xdr:ext cx="76200" cy="361950"/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8BF341F2-C557-4780-93ED-506F28D73D61}"/>
            </a:ext>
          </a:extLst>
        </xdr:cNvPr>
        <xdr:cNvSpPr txBox="1">
          <a:spLocks noChangeArrowheads="1"/>
        </xdr:cNvSpPr>
      </xdr:nvSpPr>
      <xdr:spPr bwMode="auto">
        <a:xfrm>
          <a:off x="5819775" y="258222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8FC28059-48BC-40F5-9AFA-709776E57B76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91F663B6-A811-49D0-81B9-A1A2F35EED87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5D4BACCE-5DC4-4608-8BF7-205B6E9C83A1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155</xdr:row>
      <xdr:rowOff>47625</xdr:rowOff>
    </xdr:from>
    <xdr:ext cx="76200" cy="371475"/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1A822D75-BD18-4B20-9892-4FFE95449C5E}"/>
            </a:ext>
          </a:extLst>
        </xdr:cNvPr>
        <xdr:cNvSpPr txBox="1">
          <a:spLocks noChangeArrowheads="1"/>
        </xdr:cNvSpPr>
      </xdr:nvSpPr>
      <xdr:spPr bwMode="auto">
        <a:xfrm>
          <a:off x="5819775" y="26774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6B0AFF4E-8E7D-4D90-BED2-9360332A81CE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149</xdr:row>
      <xdr:rowOff>47625</xdr:rowOff>
    </xdr:from>
    <xdr:ext cx="76200" cy="371475"/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A6C84F42-89C7-4A79-8028-7DFA24715585}"/>
            </a:ext>
          </a:extLst>
        </xdr:cNvPr>
        <xdr:cNvSpPr txBox="1">
          <a:spLocks noChangeArrowheads="1"/>
        </xdr:cNvSpPr>
      </xdr:nvSpPr>
      <xdr:spPr bwMode="auto">
        <a:xfrm>
          <a:off x="5819775" y="256317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B5F98E2-977C-4F1E-8753-319014FDF500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29C9146A-C4FF-4429-B6CD-CF416FC599D8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C0AFF601-BAA0-4784-ABF4-EFE47FBBDF70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504FFC49-3E66-48A7-B4C5-EBADC6E8F6A9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B589F105-E2C4-48A9-83FE-14BF7BC35E1F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58578DC8-7D8E-4588-A0E5-B5128CA9E0C1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A8D134C5-CC51-4349-B66C-1A0086B72232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61950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2BA43899-B98B-46CE-8A94-0605E18983B9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72</xdr:row>
      <xdr:rowOff>47625</xdr:rowOff>
    </xdr:from>
    <xdr:ext cx="76200" cy="361950"/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2943F6F1-1EA9-4A82-AFEF-A18C41211C3E}"/>
            </a:ext>
          </a:extLst>
        </xdr:cNvPr>
        <xdr:cNvSpPr txBox="1">
          <a:spLocks noChangeArrowheads="1"/>
        </xdr:cNvSpPr>
      </xdr:nvSpPr>
      <xdr:spPr bwMode="auto">
        <a:xfrm>
          <a:off x="5819775" y="108489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7754BE76-8D67-4CA7-8001-36B2CF17BECB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3D497E22-C045-40CA-BEB9-6F8A02F84FD0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19B60D6E-4719-42B4-8405-68ADD6E561A4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77A91528-AAE4-46E0-9436-B5FDB9FE1149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5433FD12-D96B-4B1C-BEDA-FAE91411ACB0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DFF4CAE5-0B82-4E74-B5E6-D8E504AFFC0C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4C4A808D-D280-4E10-955E-58609C10E70F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A60A3B79-B8C3-4CBD-B35C-E49149AD76CD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72</xdr:row>
      <xdr:rowOff>47625</xdr:rowOff>
    </xdr:from>
    <xdr:ext cx="76200" cy="361950"/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7E086039-1645-4510-91C6-53BEF3B092D6}"/>
            </a:ext>
          </a:extLst>
        </xdr:cNvPr>
        <xdr:cNvSpPr txBox="1">
          <a:spLocks noChangeArrowheads="1"/>
        </xdr:cNvSpPr>
      </xdr:nvSpPr>
      <xdr:spPr bwMode="auto">
        <a:xfrm>
          <a:off x="5819775" y="108489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DE02E17-38F1-41AF-B8B0-6FF646B00B7D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9B33E7A2-AC55-4F51-A3EC-A46327945BEB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43D49DAA-6DCB-449E-BF97-86AB8812B45A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903CC554-09D5-4C4F-975B-B1EFC28B1EF5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6CFE4A4B-477C-4E76-B330-9530EA4C91C0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29953B43-A71D-463B-AC24-C9EDB99ACB50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700D66D8-70F3-4CCF-90F9-15E62E6DB894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17F94B6C-C160-4C43-B13C-3CA438D9E3BA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72</xdr:row>
      <xdr:rowOff>47625</xdr:rowOff>
    </xdr:from>
    <xdr:ext cx="76200" cy="361950"/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F44E2DF7-ACA8-4F8D-AD0B-06AA2AD4DF3D}"/>
            </a:ext>
          </a:extLst>
        </xdr:cNvPr>
        <xdr:cNvSpPr txBox="1">
          <a:spLocks noChangeArrowheads="1"/>
        </xdr:cNvSpPr>
      </xdr:nvSpPr>
      <xdr:spPr bwMode="auto">
        <a:xfrm>
          <a:off x="5819775" y="1084897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BD8DBC34-5042-425A-814F-B2F47658E474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8083F87B-E766-40E3-AE0C-29F54CA9E17C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DE5D18D4-3489-4A29-8176-9C6B24FFCC20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77</xdr:row>
      <xdr:rowOff>47625</xdr:rowOff>
    </xdr:from>
    <xdr:ext cx="76200" cy="371475"/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8E2A8FA6-0263-4236-87A6-0207B1CE79BB}"/>
            </a:ext>
          </a:extLst>
        </xdr:cNvPr>
        <xdr:cNvSpPr txBox="1">
          <a:spLocks noChangeArrowheads="1"/>
        </xdr:cNvSpPr>
      </xdr:nvSpPr>
      <xdr:spPr bwMode="auto">
        <a:xfrm>
          <a:off x="5819775" y="11801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1C16FE3B-B4ED-41EA-A219-63A4C3D7F49F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71</xdr:row>
      <xdr:rowOff>47625</xdr:rowOff>
    </xdr:from>
    <xdr:ext cx="76200" cy="371475"/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9858C3E2-4A69-4152-B9F7-EB6FF2823D74}"/>
            </a:ext>
          </a:extLst>
        </xdr:cNvPr>
        <xdr:cNvSpPr txBox="1">
          <a:spLocks noChangeArrowheads="1"/>
        </xdr:cNvSpPr>
      </xdr:nvSpPr>
      <xdr:spPr bwMode="auto">
        <a:xfrm>
          <a:off x="5819775" y="1065847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8240DC55-5C18-4C64-BEE3-BDE1F38B779B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31D47CC5-2459-4B00-A650-EDFD34A1F941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A89AE979-72CF-4551-A53B-9CB490811A0D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B98C7021-65F1-4149-AE2F-BE8334E9FC90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0F523298-86D1-42B9-A1B8-7E4EB1C5A24B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DB256104-74B4-456E-8B1C-17D8F853BE83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6A949A76-6374-4ACB-9E30-32FC1C52FECE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61950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605FC20-9D91-4864-9A41-9A8A78BEAEBE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85</xdr:row>
      <xdr:rowOff>47625</xdr:rowOff>
    </xdr:from>
    <xdr:ext cx="76200" cy="361950"/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BA51B016-E233-48E7-96B7-0D3A1A6728C6}"/>
            </a:ext>
          </a:extLst>
        </xdr:cNvPr>
        <xdr:cNvSpPr txBox="1">
          <a:spLocks noChangeArrowheads="1"/>
        </xdr:cNvSpPr>
      </xdr:nvSpPr>
      <xdr:spPr bwMode="auto">
        <a:xfrm>
          <a:off x="5819775" y="133445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232F7EC-07E0-4154-8BE7-BEAB5088158F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9F6FD084-06E5-48CB-BA63-B1B9D7FDD414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61C64F53-C939-4094-A438-8E8AE4E9B29D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B6FD5850-B48A-4471-940A-DC12944BD5A8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C822A58C-5A21-4138-B1AF-67997F7FCCE3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1D9CA435-0304-41D3-AA90-24719F413AB6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4C45BBD6-2DF8-411B-BC2B-25241DE1E68D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19731CD3-4E5D-4B31-9217-2C396DD76715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85</xdr:row>
      <xdr:rowOff>47625</xdr:rowOff>
    </xdr:from>
    <xdr:ext cx="76200" cy="361950"/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D3E83727-0AF7-43EA-8A39-1D67193DEDB0}"/>
            </a:ext>
          </a:extLst>
        </xdr:cNvPr>
        <xdr:cNvSpPr txBox="1">
          <a:spLocks noChangeArrowheads="1"/>
        </xdr:cNvSpPr>
      </xdr:nvSpPr>
      <xdr:spPr bwMode="auto">
        <a:xfrm>
          <a:off x="5819775" y="133445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3FAF9832-AC71-475B-B067-6EF47494A43F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CAC85DD2-59C5-46F8-96B8-A2433D49DCE0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06DD4E91-7163-47EE-907A-D60AF63BD4B7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B6BEB13A-BAB6-4A96-8FE0-0891CDD0CC0A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10DA042-8DF3-47B3-8D0D-FC8906F0E4A2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8324F8B6-E516-4291-93D9-F1115F7A8A56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5E730E09-48CF-4C8F-A541-77F5DBED632C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EEA17BE-B740-43DC-A651-8A7BCD7CF091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85</xdr:row>
      <xdr:rowOff>47625</xdr:rowOff>
    </xdr:from>
    <xdr:ext cx="76200" cy="361950"/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E8D8A7D8-429D-445F-B277-A9A03E90ECFF}"/>
            </a:ext>
          </a:extLst>
        </xdr:cNvPr>
        <xdr:cNvSpPr txBox="1">
          <a:spLocks noChangeArrowheads="1"/>
        </xdr:cNvSpPr>
      </xdr:nvSpPr>
      <xdr:spPr bwMode="auto">
        <a:xfrm>
          <a:off x="5819775" y="133445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4DAB4B72-7375-4F6B-A2C4-2FE480A21F04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D3FF8CEF-160C-4596-8A85-BB78AECDCEDF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2903F334-6AB2-4C58-AE61-6C89F50339B6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90</xdr:row>
      <xdr:rowOff>47625</xdr:rowOff>
    </xdr:from>
    <xdr:ext cx="76200" cy="371475"/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A296DB80-2E0D-4299-B156-B9B136720967}"/>
            </a:ext>
          </a:extLst>
        </xdr:cNvPr>
        <xdr:cNvSpPr txBox="1">
          <a:spLocks noChangeArrowheads="1"/>
        </xdr:cNvSpPr>
      </xdr:nvSpPr>
      <xdr:spPr bwMode="auto">
        <a:xfrm>
          <a:off x="5819775" y="14297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A83CFF5D-E742-4E64-9C9C-88175EA210C2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84</xdr:row>
      <xdr:rowOff>47625</xdr:rowOff>
    </xdr:from>
    <xdr:ext cx="76200" cy="371475"/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7EB8C57F-7203-4FCA-A50B-35B8746B7E32}"/>
            </a:ext>
          </a:extLst>
        </xdr:cNvPr>
        <xdr:cNvSpPr txBox="1">
          <a:spLocks noChangeArrowheads="1"/>
        </xdr:cNvSpPr>
      </xdr:nvSpPr>
      <xdr:spPr bwMode="auto">
        <a:xfrm>
          <a:off x="5819775" y="131540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340179</xdr:colOff>
      <xdr:row>0</xdr:row>
      <xdr:rowOff>54429</xdr:rowOff>
    </xdr:from>
    <xdr:to>
      <xdr:col>11</xdr:col>
      <xdr:colOff>118706</xdr:colOff>
      <xdr:row>2</xdr:row>
      <xdr:rowOff>187791</xdr:rowOff>
    </xdr:to>
    <xdr:grpSp>
      <xdr:nvGrpSpPr>
        <xdr:cNvPr id="201" name="Group 200">
          <a:extLst>
            <a:ext uri="{FF2B5EF4-FFF2-40B4-BE49-F238E27FC236}">
              <a16:creationId xmlns:a16="http://schemas.microsoft.com/office/drawing/2014/main" id="{1FBD14D7-BA7A-4865-88E4-B10355DB881D}"/>
            </a:ext>
          </a:extLst>
        </xdr:cNvPr>
        <xdr:cNvGrpSpPr/>
      </xdr:nvGrpSpPr>
      <xdr:grpSpPr>
        <a:xfrm>
          <a:off x="11555867" y="54429"/>
          <a:ext cx="6398402" cy="895362"/>
          <a:chOff x="6257924" y="76200"/>
          <a:chExt cx="5973778" cy="1034035"/>
        </a:xfrm>
      </xdr:grpSpPr>
      <xdr:grpSp>
        <xdr:nvGrpSpPr>
          <xdr:cNvPr id="202" name="Group 201">
            <a:extLst>
              <a:ext uri="{FF2B5EF4-FFF2-40B4-BE49-F238E27FC236}">
                <a16:creationId xmlns:a16="http://schemas.microsoft.com/office/drawing/2014/main" id="{B6385C7F-C4A2-4E34-B5BE-94DF663B22FE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2]!MarkConfidential" textlink="">
          <xdr:nvSpPr>
            <xdr:cNvPr id="209" name="Rounded Rectangle 208">
              <a:extLst>
                <a:ext uri="{FF2B5EF4-FFF2-40B4-BE49-F238E27FC236}">
                  <a16:creationId xmlns:a16="http://schemas.microsoft.com/office/drawing/2014/main" id="{F5544A5F-455F-46CE-A21B-27818E2F882E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2]!MarkNonConfidential" textlink="">
          <xdr:nvSpPr>
            <xdr:cNvPr id="210" name="Rounded Rectangle 209">
              <a:extLst>
                <a:ext uri="{FF2B5EF4-FFF2-40B4-BE49-F238E27FC236}">
                  <a16:creationId xmlns:a16="http://schemas.microsoft.com/office/drawing/2014/main" id="{95D57B7E-32E3-477A-8767-1FCF488635D5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203" name="Group 202">
            <a:extLst>
              <a:ext uri="{FF2B5EF4-FFF2-40B4-BE49-F238E27FC236}">
                <a16:creationId xmlns:a16="http://schemas.microsoft.com/office/drawing/2014/main" id="{8F9402EA-A189-4122-9499-E12C67F04017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204" name="Rounded Rectangle 203">
              <a:extLst>
                <a:ext uri="{FF2B5EF4-FFF2-40B4-BE49-F238E27FC236}">
                  <a16:creationId xmlns:a16="http://schemas.microsoft.com/office/drawing/2014/main" id="{A6EA7F98-D958-412B-8862-80302408D170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205" name="Group 204">
              <a:extLst>
                <a:ext uri="{FF2B5EF4-FFF2-40B4-BE49-F238E27FC236}">
                  <a16:creationId xmlns:a16="http://schemas.microsoft.com/office/drawing/2014/main" id="{D9F3C807-436F-429F-AC6F-6006CBA45AE7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2]!dms_ReturnNonAmended" textlink="">
            <xdr:nvSpPr>
              <xdr:cNvPr id="207" name="Rounded Rectangle 206">
                <a:extLst>
                  <a:ext uri="{FF2B5EF4-FFF2-40B4-BE49-F238E27FC236}">
                    <a16:creationId xmlns:a16="http://schemas.microsoft.com/office/drawing/2014/main" id="{C8732770-B71F-4F20-9A30-3E59FB14798C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2]!dms_Amended" textlink="">
            <xdr:nvSpPr>
              <xdr:cNvPr id="208" name="Rounded Rectangle 207">
                <a:extLst>
                  <a:ext uri="{FF2B5EF4-FFF2-40B4-BE49-F238E27FC236}">
                    <a16:creationId xmlns:a16="http://schemas.microsoft.com/office/drawing/2014/main" id="{33C6298C-37F5-452F-A6FF-52D1BA6CE62C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206" name="Rounded Rectangle 205">
              <a:extLst>
                <a:ext uri="{FF2B5EF4-FFF2-40B4-BE49-F238E27FC236}">
                  <a16:creationId xmlns:a16="http://schemas.microsoft.com/office/drawing/2014/main" id="{3F9F513F-88D5-41EE-9A51-819824D7371E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B4D62F38-9613-47A8-B5D1-AEE523913B51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744B8380-CE79-4362-A2BF-E70CE89638BA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A4AEA0A9-D13A-40C6-A2D9-616CA7F34E71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ECDF94B0-CA26-43E9-BCD4-11CDDD7076A4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532F535C-798E-4E71-9EB4-4A2439C3843D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3AACF412-3FA9-4F2A-B004-126FE2BAC327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FA02F3A3-04C2-4B13-B5EF-FC2F69121C90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61950"/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4E8FBEC3-47D9-4669-B187-2761FF79A5F1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163</xdr:row>
      <xdr:rowOff>47625</xdr:rowOff>
    </xdr:from>
    <xdr:ext cx="76200" cy="361950"/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4786F264-D3B9-4C50-BE9C-A35980D67BCD}"/>
            </a:ext>
          </a:extLst>
        </xdr:cNvPr>
        <xdr:cNvSpPr txBox="1">
          <a:spLocks noChangeArrowheads="1"/>
        </xdr:cNvSpPr>
      </xdr:nvSpPr>
      <xdr:spPr bwMode="auto">
        <a:xfrm>
          <a:off x="5819775" y="283178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F8F8BC7F-940B-4C2B-96F9-E1B3EB6764DD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65AAD7D1-F7EE-4419-B611-D7E36226E159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A9F40DDE-FDA3-43F6-85E1-F3A75FAA41E9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C7A88B4D-7556-46EB-93F9-3EC274D587ED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2C5EBD69-6D3C-4B1D-862A-BBF803C2E071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C0EC24EF-4509-492B-9AA6-36AE87A7C1E9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B630F1A2-E511-4DAA-BA5C-CEAD29949157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91A147ED-8388-4C86-BE4E-C5554461C6D2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163</xdr:row>
      <xdr:rowOff>47625</xdr:rowOff>
    </xdr:from>
    <xdr:ext cx="76200" cy="361950"/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AB7E84B0-8FC7-4C18-BAAB-0E778464C716}"/>
            </a:ext>
          </a:extLst>
        </xdr:cNvPr>
        <xdr:cNvSpPr txBox="1">
          <a:spLocks noChangeArrowheads="1"/>
        </xdr:cNvSpPr>
      </xdr:nvSpPr>
      <xdr:spPr bwMode="auto">
        <a:xfrm>
          <a:off x="5819775" y="283178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5A777170-8FB9-4566-9201-C32ABC3FDCC5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160069A5-B116-4E6E-A971-FBF1E2D56501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DAFCC080-1521-4E19-A822-63F08DAE19C3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607E0CCC-EFAC-4013-A416-1682D2598ADD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FB0525E6-DF9D-493A-B7AE-94F01B44BFA9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8A86A856-5636-4F11-9892-4D307302DF56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F65ED253-A4AD-4DA0-9087-F17B9638DFD9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6A9D5363-B0C6-4DD3-9B1C-5A97B2A50FC9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163</xdr:row>
      <xdr:rowOff>47625</xdr:rowOff>
    </xdr:from>
    <xdr:ext cx="76200" cy="361950"/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E0C78A95-2870-4899-90AC-BB8EF3B2A755}"/>
            </a:ext>
          </a:extLst>
        </xdr:cNvPr>
        <xdr:cNvSpPr txBox="1">
          <a:spLocks noChangeArrowheads="1"/>
        </xdr:cNvSpPr>
      </xdr:nvSpPr>
      <xdr:spPr bwMode="auto">
        <a:xfrm>
          <a:off x="5819775" y="28317825"/>
          <a:ext cx="76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57910713-00F6-4A75-ACA7-C9ECD59E3382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07F16E0E-40D0-499C-9ACE-89DCFC8244D0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3403B388-6B37-4782-8816-8A2E80F0F43A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168</xdr:row>
      <xdr:rowOff>47625</xdr:rowOff>
    </xdr:from>
    <xdr:ext cx="76200" cy="371475"/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BF0391D-6DBA-4D09-92D4-B0572F5B4282}"/>
            </a:ext>
          </a:extLst>
        </xdr:cNvPr>
        <xdr:cNvSpPr txBox="1">
          <a:spLocks noChangeArrowheads="1"/>
        </xdr:cNvSpPr>
      </xdr:nvSpPr>
      <xdr:spPr bwMode="auto">
        <a:xfrm>
          <a:off x="5819775" y="29270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D4F07751-F1C8-491C-A362-E9D9C963CAFF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428625</xdr:colOff>
      <xdr:row>162</xdr:row>
      <xdr:rowOff>47625</xdr:rowOff>
    </xdr:from>
    <xdr:ext cx="76200" cy="371475"/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B9E8202C-32CA-46E8-849A-EC669D2DBD6A}"/>
            </a:ext>
          </a:extLst>
        </xdr:cNvPr>
        <xdr:cNvSpPr txBox="1">
          <a:spLocks noChangeArrowheads="1"/>
        </xdr:cNvSpPr>
      </xdr:nvSpPr>
      <xdr:spPr bwMode="auto">
        <a:xfrm>
          <a:off x="5819775" y="28127325"/>
          <a:ext cx="76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sset%20&amp;%20Operations\Network%20Access\RIN\2024-28%20Regulatory%20RIN%207_9%20STPIS\2021%20Pre\ElectraNet%202024-28%20-%20FINAL%20RIN%20-%20workbook%201%20-%20STPI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ElectraNet%202023\01%20Proposal\ENET042-Workbook%201-Regulatory%20Determination-Public%20(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  <sheetName val="ElectraNet 2024-28 - FINAL RIN "/>
    </sheetNames>
    <definedNames>
      <definedName name="dms_Amended"/>
      <definedName name="dms_ReturnNonAmended"/>
      <definedName name="MarkConfidential"/>
      <definedName name="MarkNonConfidential"/>
    </definedNames>
    <sheetDataSet>
      <sheetData sheetId="0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  <row r="66">
          <cell r="D66" t="str">
            <v>New substation establishment</v>
          </cell>
          <cell r="F66" t="str">
            <v>New line on new route - single circuit</v>
          </cell>
        </row>
        <row r="67">
          <cell r="D67" t="str">
            <v>Capacity upgrade</v>
          </cell>
          <cell r="F67" t="str">
            <v>New line on new route - dual circuit</v>
          </cell>
        </row>
        <row r="68">
          <cell r="D68" t="str">
            <v>Voltage upgrade</v>
          </cell>
          <cell r="F68" t="str">
            <v>New line on new route - other</v>
          </cell>
        </row>
        <row r="69">
          <cell r="D69" t="str">
            <v>Other</v>
          </cell>
          <cell r="F69" t="str">
            <v>Line rebuild over existing route - single circuit</v>
          </cell>
        </row>
        <row r="70">
          <cell r="F70" t="str">
            <v>Line rebuild over existing route - dual circuit</v>
          </cell>
        </row>
        <row r="71">
          <cell r="F71" t="str">
            <v>Reconductor - Single circuit</v>
          </cell>
        </row>
        <row r="72">
          <cell r="F72" t="str">
            <v>Reconductor - Dual circuit</v>
          </cell>
        </row>
        <row r="73">
          <cell r="F73" t="str">
            <v>Reconductor - Other</v>
          </cell>
        </row>
        <row r="74">
          <cell r="F74" t="str">
            <v>Line upgrade - raising/retensoring</v>
          </cell>
        </row>
        <row r="75">
          <cell r="F75" t="str">
            <v>Line upgrade - voltage upgrade</v>
          </cell>
        </row>
        <row r="76">
          <cell r="F76" t="str">
            <v>Line upgrade - capacity</v>
          </cell>
        </row>
        <row r="77">
          <cell r="F77" t="str">
            <v>String spare circuit</v>
          </cell>
        </row>
        <row r="78">
          <cell r="F78" t="str">
            <v>Other</v>
          </cell>
        </row>
      </sheetData>
      <sheetData sheetId="2">
        <row r="16">
          <cell r="B16" t="str">
            <v>AEMO</v>
          </cell>
          <cell r="C16" t="str">
            <v>Australian Energy Market Operator Ltd</v>
          </cell>
          <cell r="D16">
            <v>94072010327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-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 t="str">
            <v>x</v>
          </cell>
          <cell r="O16" t="str">
            <v>-</v>
          </cell>
          <cell r="P16" t="str">
            <v>Level 22</v>
          </cell>
          <cell r="Q16" t="str">
            <v>530 Collins Street</v>
          </cell>
          <cell r="R16" t="str">
            <v>MELBOURNE</v>
          </cell>
          <cell r="S16" t="str">
            <v>Vic</v>
          </cell>
          <cell r="U16" t="str">
            <v>GPO Box 2008</v>
          </cell>
          <cell r="W16" t="str">
            <v>MELBOURNE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-</v>
          </cell>
          <cell r="AF16" t="str">
            <v>CBD</v>
          </cell>
          <cell r="AG16" t="str">
            <v>Urban</v>
          </cell>
          <cell r="AH16" t="str">
            <v>Short rural</v>
          </cell>
          <cell r="AI16" t="str">
            <v>Long rural</v>
          </cell>
        </row>
        <row r="17">
          <cell r="B17" t="str">
            <v>AusNet (T)</v>
          </cell>
          <cell r="C17" t="str">
            <v>AusNet Transmission Group Pty Ltd</v>
          </cell>
          <cell r="D17">
            <v>78079798173</v>
          </cell>
          <cell r="E17" t="str">
            <v>Vic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March</v>
          </cell>
          <cell r="K17">
            <v>5</v>
          </cell>
          <cell r="L17">
            <v>5</v>
          </cell>
          <cell r="M17">
            <v>5</v>
          </cell>
          <cell r="N17">
            <v>2</v>
          </cell>
          <cell r="O17" t="str">
            <v>transmission determination</v>
          </cell>
          <cell r="P17" t="str">
            <v>Level 32</v>
          </cell>
          <cell r="Q17" t="str">
            <v>2 Southbank Boulevard</v>
          </cell>
          <cell r="R17" t="str">
            <v>SOUTHBANK</v>
          </cell>
          <cell r="S17" t="str">
            <v>Vic</v>
          </cell>
          <cell r="U17" t="str">
            <v>Locked Bag 14051</v>
          </cell>
          <cell r="W17" t="str">
            <v>MELBOURNE CITY MAIL CENTRE</v>
          </cell>
          <cell r="X17" t="str">
            <v>Vic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Australian Transmission Co.</v>
          </cell>
          <cell r="C18" t="str">
            <v>Australian Transmission Co.</v>
          </cell>
          <cell r="D18">
            <v>11222333444</v>
          </cell>
          <cell r="E18" t="str">
            <v>NSW</v>
          </cell>
          <cell r="F18" t="str">
            <v>Electricity</v>
          </cell>
          <cell r="G18" t="str">
            <v>Transmission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transmission determination</v>
          </cell>
          <cell r="P18" t="str">
            <v>123 Straight Street</v>
          </cell>
          <cell r="R18" t="str">
            <v>SYDNEY</v>
          </cell>
          <cell r="S18" t="str">
            <v>NSW</v>
          </cell>
          <cell r="U18" t="str">
            <v>PO Box 123</v>
          </cell>
          <cell r="W18" t="str">
            <v>SYDNEY</v>
          </cell>
          <cell r="X18" t="str">
            <v>NSW</v>
          </cell>
          <cell r="Z18" t="str">
            <v>NO</v>
          </cell>
          <cell r="AA18" t="str">
            <v>NO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NO</v>
          </cell>
        </row>
        <row r="19">
          <cell r="B19" t="str">
            <v>Directlink</v>
          </cell>
          <cell r="C19" t="str">
            <v>Directlink</v>
          </cell>
          <cell r="D19">
            <v>16779340889</v>
          </cell>
          <cell r="E19" t="str">
            <v>Qld</v>
          </cell>
          <cell r="F19" t="str">
            <v>Electricity</v>
          </cell>
          <cell r="G19" t="str">
            <v>Transmission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 t="str">
            <v>transmission determination</v>
          </cell>
          <cell r="P19" t="str">
            <v>Level 25</v>
          </cell>
          <cell r="Q19" t="str">
            <v>580 George Street</v>
          </cell>
          <cell r="R19" t="str">
            <v>SYDNEY</v>
          </cell>
          <cell r="S19" t="str">
            <v>NSW</v>
          </cell>
          <cell r="U19" t="str">
            <v>PO Box R41</v>
          </cell>
          <cell r="W19" t="str">
            <v>ROYAL EXCHANGE</v>
          </cell>
          <cell r="X19" t="str">
            <v>NSW</v>
          </cell>
          <cell r="Z19" t="str">
            <v>NO</v>
          </cell>
          <cell r="AA19" t="str">
            <v>NO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-</v>
          </cell>
          <cell r="AF19" t="str">
            <v>CBD</v>
          </cell>
          <cell r="AG19" t="str">
            <v>Urban</v>
          </cell>
          <cell r="AH19" t="str">
            <v>Short rural</v>
          </cell>
          <cell r="AI19" t="str">
            <v>Long rural</v>
          </cell>
        </row>
        <row r="20">
          <cell r="B20" t="str">
            <v>ElectraNet</v>
          </cell>
          <cell r="C20" t="str">
            <v>ElectraNet</v>
          </cell>
          <cell r="D20">
            <v>41094482416</v>
          </cell>
          <cell r="E20" t="str">
            <v>SA</v>
          </cell>
          <cell r="F20" t="str">
            <v>Electricity</v>
          </cell>
          <cell r="G20" t="str">
            <v>Transmission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 t="str">
            <v>transmission determination</v>
          </cell>
          <cell r="P20" t="str">
            <v>52-55 East Terrace</v>
          </cell>
          <cell r="Q20" t="str">
            <v>Rymill Park</v>
          </cell>
          <cell r="R20" t="str">
            <v>ADELAIDE</v>
          </cell>
          <cell r="S20" t="str">
            <v>SA</v>
          </cell>
          <cell r="U20" t="str">
            <v>PO Box 7096</v>
          </cell>
          <cell r="V20" t="str">
            <v>Hutt Street Post Office</v>
          </cell>
          <cell r="W20" t="str">
            <v>ADELAIDE</v>
          </cell>
          <cell r="X20" t="str">
            <v>SA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-</v>
          </cell>
          <cell r="AF20" t="str">
            <v>CBD</v>
          </cell>
          <cell r="AG20" t="str">
            <v>Urban</v>
          </cell>
          <cell r="AH20" t="str">
            <v>Short rural</v>
          </cell>
          <cell r="AI20" t="str">
            <v>Long rural</v>
          </cell>
        </row>
        <row r="21">
          <cell r="B21" t="str">
            <v>Murraylink</v>
          </cell>
          <cell r="C21" t="str">
            <v>Murraylink</v>
          </cell>
          <cell r="D21">
            <v>79181207909</v>
          </cell>
          <cell r="E21" t="str">
            <v>SA</v>
          </cell>
          <cell r="F21" t="str">
            <v>Electricity</v>
          </cell>
          <cell r="G21" t="str">
            <v>Transmission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 t="str">
            <v>transmission determination</v>
          </cell>
          <cell r="P21" t="str">
            <v>Level 19</v>
          </cell>
          <cell r="Q21" t="str">
            <v>580 George Street</v>
          </cell>
          <cell r="R21" t="str">
            <v>SYDNEY</v>
          </cell>
          <cell r="S21" t="str">
            <v>NSW</v>
          </cell>
          <cell r="U21" t="str">
            <v>PO Box R41</v>
          </cell>
          <cell r="W21" t="str">
            <v>ROYAL EXCHANGE</v>
          </cell>
          <cell r="X21" t="str">
            <v>NSW</v>
          </cell>
          <cell r="Z21" t="str">
            <v>NO</v>
          </cell>
          <cell r="AA21" t="str">
            <v>NO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-</v>
          </cell>
          <cell r="AF21" t="str">
            <v>CBD</v>
          </cell>
          <cell r="AG21" t="str">
            <v>Urban</v>
          </cell>
          <cell r="AH21" t="str">
            <v>Short rural</v>
          </cell>
          <cell r="AI21" t="str">
            <v>Long rural</v>
          </cell>
        </row>
        <row r="22">
          <cell r="B22" t="str">
            <v>Powerlink</v>
          </cell>
          <cell r="C22" t="str">
            <v>Queensland Electricity Transmission Corporation Limited trading as Powerlink Queensland</v>
          </cell>
          <cell r="D22">
            <v>82078849233</v>
          </cell>
          <cell r="E22" t="str">
            <v>Qld</v>
          </cell>
          <cell r="F22" t="str">
            <v>Electricity</v>
          </cell>
          <cell r="G22" t="str">
            <v>Transmission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transmission determination</v>
          </cell>
          <cell r="P22" t="str">
            <v>33 Harold St</v>
          </cell>
          <cell r="R22" t="str">
            <v>VIRGINIA</v>
          </cell>
          <cell r="S22" t="str">
            <v>Qld</v>
          </cell>
          <cell r="U22" t="str">
            <v>PO Box 1193</v>
          </cell>
          <cell r="W22" t="str">
            <v>VIRGINIA</v>
          </cell>
          <cell r="X22" t="str">
            <v>QLD</v>
          </cell>
          <cell r="Z22" t="str">
            <v>NO</v>
          </cell>
          <cell r="AA22" t="str">
            <v>NO</v>
          </cell>
          <cell r="AB22" t="str">
            <v>NO</v>
          </cell>
          <cell r="AC22" t="str">
            <v>NO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NO</v>
          </cell>
        </row>
        <row r="23">
          <cell r="B23" t="str">
            <v>TasNetworks (T)</v>
          </cell>
          <cell r="C23" t="str">
            <v>TasNetworks (T)</v>
          </cell>
          <cell r="D23">
            <v>24167357299</v>
          </cell>
          <cell r="E23" t="str">
            <v>Tas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transmission determination</v>
          </cell>
          <cell r="P23" t="str">
            <v>1-7 Maria Street</v>
          </cell>
          <cell r="R23" t="str">
            <v>LENAH VALLEY</v>
          </cell>
          <cell r="S23" t="str">
            <v>Tas</v>
          </cell>
          <cell r="U23" t="str">
            <v>PO Box 606</v>
          </cell>
          <cell r="W23" t="str">
            <v>MOONAH</v>
          </cell>
          <cell r="X23" t="str">
            <v>Tas</v>
          </cell>
          <cell r="Z23" t="str">
            <v>NO</v>
          </cell>
          <cell r="AA23" t="str">
            <v>NO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-</v>
          </cell>
          <cell r="AF23" t="str">
            <v>CBD</v>
          </cell>
          <cell r="AG23" t="str">
            <v>Urban</v>
          </cell>
          <cell r="AH23" t="str">
            <v>Short rural</v>
          </cell>
          <cell r="AI23" t="str">
            <v>Long rural</v>
          </cell>
        </row>
        <row r="24">
          <cell r="B24" t="str">
            <v>TransGrid</v>
          </cell>
          <cell r="C24" t="str">
            <v>NSW Electricity Networks Operations Pty Ltd trading as TransGrid</v>
          </cell>
          <cell r="D24" t="str">
            <v>70 250 995 390</v>
          </cell>
          <cell r="E24" t="str">
            <v>NSW</v>
          </cell>
          <cell r="F24" t="str">
            <v>Electricity</v>
          </cell>
          <cell r="G24" t="str">
            <v>Transmission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4</v>
          </cell>
          <cell r="N24">
            <v>5</v>
          </cell>
          <cell r="O24" t="str">
            <v>transmission determination</v>
          </cell>
          <cell r="P24" t="str">
            <v>180 Thomas Street</v>
          </cell>
          <cell r="R24" t="str">
            <v>SYDNEY</v>
          </cell>
          <cell r="S24" t="str">
            <v>NSW</v>
          </cell>
          <cell r="U24" t="str">
            <v>PO Box A1000</v>
          </cell>
          <cell r="W24" t="str">
            <v>SYDNEY SOUTH</v>
          </cell>
          <cell r="X24" t="str">
            <v>NSW</v>
          </cell>
          <cell r="Z24" t="str">
            <v>NO</v>
          </cell>
          <cell r="AA24" t="str">
            <v>NO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-</v>
          </cell>
          <cell r="AF24" t="str">
            <v>CBD</v>
          </cell>
          <cell r="AG24" t="str">
            <v>Urban</v>
          </cell>
          <cell r="AH24" t="str">
            <v>Short rural</v>
          </cell>
          <cell r="AI24" t="str">
            <v>Long rural</v>
          </cell>
        </row>
        <row r="31">
          <cell r="B31" t="str">
            <v>ARR</v>
          </cell>
          <cell r="D31" t="str">
            <v>ANNUAL REPORTING</v>
          </cell>
          <cell r="E31">
            <v>1</v>
          </cell>
        </row>
        <row r="32">
          <cell r="B32" t="str">
            <v>CA</v>
          </cell>
          <cell r="D32" t="str">
            <v>CATEGORY ANALYSIS</v>
          </cell>
          <cell r="E32">
            <v>1</v>
          </cell>
        </row>
        <row r="33">
          <cell r="B33" t="str">
            <v>CESS</v>
          </cell>
          <cell r="D33" t="str">
            <v>CAPITLAL EXPENDITURE SHARING SCHEMING</v>
          </cell>
          <cell r="E33">
            <v>5</v>
          </cell>
        </row>
        <row r="34">
          <cell r="B34" t="str">
            <v>CPI</v>
          </cell>
          <cell r="D34" t="str">
            <v>CPI</v>
          </cell>
          <cell r="E34">
            <v>5</v>
          </cell>
        </row>
        <row r="35">
          <cell r="B35" t="str">
            <v>EB</v>
          </cell>
          <cell r="D35" t="str">
            <v>ECONOMIC BENCHMARKING</v>
          </cell>
          <cell r="E35">
            <v>1</v>
          </cell>
        </row>
        <row r="36">
          <cell r="B36" t="str">
            <v>Pricing</v>
          </cell>
          <cell r="D36" t="str">
            <v>PRICING PROPOSAL</v>
          </cell>
          <cell r="E36">
            <v>5</v>
          </cell>
        </row>
        <row r="37">
          <cell r="B37" t="str">
            <v>PTRM</v>
          </cell>
          <cell r="D37" t="str">
            <v>POST TAX REVENUE MODEL</v>
          </cell>
          <cell r="E37">
            <v>5</v>
          </cell>
        </row>
        <row r="38">
          <cell r="B38" t="str">
            <v>Reset</v>
          </cell>
          <cell r="D38" t="str">
            <v>REGULATORY REPORTING STATEMENT</v>
          </cell>
          <cell r="E38">
            <v>5</v>
          </cell>
        </row>
        <row r="39">
          <cell r="B39" t="str">
            <v>RFM</v>
          </cell>
          <cell r="D39" t="str">
            <v>ROLL FORWARD MODEL</v>
          </cell>
          <cell r="E39">
            <v>5</v>
          </cell>
        </row>
        <row r="40">
          <cell r="B40" t="str">
            <v>WACC</v>
          </cell>
          <cell r="D40" t="str">
            <v>WEIGHTED AVERAGE COST OF CAPITAL</v>
          </cell>
          <cell r="E40">
            <v>1</v>
          </cell>
        </row>
        <row r="45">
          <cell r="E45" t="str">
            <v>2013-14</v>
          </cell>
          <cell r="G45" t="str">
            <v>2018-19</v>
          </cell>
        </row>
        <row r="46">
          <cell r="E46" t="str">
            <v>2014-15</v>
          </cell>
          <cell r="G46" t="str">
            <v>2019-20</v>
          </cell>
          <cell r="I46" t="str">
            <v>2024-25</v>
          </cell>
        </row>
        <row r="47">
          <cell r="E47" t="str">
            <v>2015-16</v>
          </cell>
          <cell r="G47" t="str">
            <v>2020-21</v>
          </cell>
          <cell r="I47" t="str">
            <v>2025-26</v>
          </cell>
        </row>
        <row r="48">
          <cell r="E48" t="str">
            <v>2016-17</v>
          </cell>
          <cell r="G48" t="str">
            <v>2021-22</v>
          </cell>
          <cell r="I48" t="str">
            <v>2026-27</v>
          </cell>
        </row>
        <row r="49">
          <cell r="E49" t="str">
            <v>2017-18</v>
          </cell>
          <cell r="G49" t="str">
            <v>2022-23</v>
          </cell>
          <cell r="I49" t="str">
            <v>2027-28</v>
          </cell>
        </row>
        <row r="50">
          <cell r="E50" t="str">
            <v>2018-19</v>
          </cell>
          <cell r="G50" t="str">
            <v>2023-24</v>
          </cell>
          <cell r="I50" t="str">
            <v>2028-29</v>
          </cell>
        </row>
        <row r="51">
          <cell r="E51" t="str">
            <v>2019-20</v>
          </cell>
          <cell r="G51" t="str">
            <v>2024-25</v>
          </cell>
          <cell r="I51" t="str">
            <v>2029-30</v>
          </cell>
        </row>
        <row r="52">
          <cell r="E52" t="str">
            <v>2020-21</v>
          </cell>
          <cell r="G52" t="str">
            <v>2025-26</v>
          </cell>
          <cell r="I52" t="str">
            <v>2030-31</v>
          </cell>
        </row>
        <row r="53">
          <cell r="E53" t="str">
            <v>2021-22</v>
          </cell>
          <cell r="G53" t="str">
            <v>2026-27</v>
          </cell>
          <cell r="I53" t="str">
            <v>2031-32</v>
          </cell>
        </row>
        <row r="54">
          <cell r="E54" t="str">
            <v>2022-23</v>
          </cell>
          <cell r="G54" t="str">
            <v>2027-28</v>
          </cell>
          <cell r="I54" t="str">
            <v>2032-33</v>
          </cell>
        </row>
        <row r="55">
          <cell r="E55" t="str">
            <v>2023-24</v>
          </cell>
          <cell r="G55" t="str">
            <v>2028-29</v>
          </cell>
          <cell r="I55" t="str">
            <v>2033-34</v>
          </cell>
        </row>
        <row r="56">
          <cell r="E56" t="str">
            <v>2024-25</v>
          </cell>
          <cell r="G56" t="str">
            <v>2029-30</v>
          </cell>
          <cell r="I56" t="str">
            <v>2034-35</v>
          </cell>
        </row>
        <row r="57">
          <cell r="E57" t="str">
            <v>2025-26</v>
          </cell>
          <cell r="G57" t="str">
            <v>2030-31</v>
          </cell>
          <cell r="I57" t="str">
            <v>2035-36</v>
          </cell>
        </row>
        <row r="58">
          <cell r="E58" t="str">
            <v>2026-27</v>
          </cell>
          <cell r="G58" t="str">
            <v>2031-32</v>
          </cell>
          <cell r="I58" t="str">
            <v>2036-37</v>
          </cell>
        </row>
        <row r="59">
          <cell r="E59" t="str">
            <v>2027-28</v>
          </cell>
          <cell r="G59" t="str">
            <v>2032-33</v>
          </cell>
          <cell r="I59" t="e">
            <v>#REF!</v>
          </cell>
        </row>
        <row r="64">
          <cell r="E64" t="str">
            <v>2021-22</v>
          </cell>
        </row>
        <row r="65">
          <cell r="E65" t="str">
            <v>2022-23</v>
          </cell>
        </row>
        <row r="66">
          <cell r="E66" t="str">
            <v>2023-24</v>
          </cell>
        </row>
        <row r="67">
          <cell r="E67" t="str">
            <v>2024-25</v>
          </cell>
        </row>
        <row r="68">
          <cell r="E68" t="str">
            <v>2025-26</v>
          </cell>
        </row>
        <row r="69">
          <cell r="E69" t="str">
            <v>2026-27</v>
          </cell>
        </row>
        <row r="70">
          <cell r="E70" t="str">
            <v>2027-28</v>
          </cell>
        </row>
      </sheetData>
      <sheetData sheetId="3">
        <row r="9">
          <cell r="C9" t="str">
            <v>ElectraNet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2023</v>
          </cell>
        </row>
        <row r="36">
          <cell r="C36" t="str">
            <v>2023-24</v>
          </cell>
        </row>
        <row r="37">
          <cell r="C37" t="str">
            <v>2021-22</v>
          </cell>
        </row>
        <row r="38">
          <cell r="C38">
            <v>35</v>
          </cell>
        </row>
        <row r="39">
          <cell r="C39">
            <v>37</v>
          </cell>
        </row>
        <row r="40">
          <cell r="C40">
            <v>32</v>
          </cell>
        </row>
        <row r="41">
          <cell r="C41">
            <v>27</v>
          </cell>
        </row>
        <row r="42">
          <cell r="C42">
            <v>41</v>
          </cell>
        </row>
        <row r="46">
          <cell r="C46" t="str">
            <v>2027-28</v>
          </cell>
        </row>
        <row r="47">
          <cell r="C47" t="str">
            <v>2022-23</v>
          </cell>
        </row>
        <row r="48">
          <cell r="C48" t="str">
            <v>2017-18</v>
          </cell>
        </row>
        <row r="49">
          <cell r="C49" t="str">
            <v>2027-28</v>
          </cell>
        </row>
        <row r="51">
          <cell r="C51" t="str">
            <v>2023</v>
          </cell>
        </row>
        <row r="52">
          <cell r="C52" t="str">
            <v>2018</v>
          </cell>
        </row>
        <row r="53">
          <cell r="C53">
            <v>0</v>
          </cell>
        </row>
        <row r="54">
          <cell r="C54" t="str">
            <v>2028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2028</v>
          </cell>
        </row>
        <row r="59">
          <cell r="C59">
            <v>0</v>
          </cell>
        </row>
        <row r="60">
          <cell r="C60" t="str">
            <v>2021-22 to 2027-28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2027-28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1-Jul-2016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4"/>
      <sheetData sheetId="5"/>
      <sheetData sheetId="6">
        <row r="16">
          <cell r="AL16" t="str">
            <v>ElectraNet</v>
          </cell>
        </row>
        <row r="42">
          <cell r="AL42" t="str">
            <v>2023-24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7"/>
      <sheetData sheetId="8"/>
      <sheetData sheetId="9"/>
      <sheetData sheetId="10"/>
      <sheetData sheetId="11"/>
      <sheetData sheetId="12">
        <row r="12">
          <cell r="B12" t="str">
            <v>&lt;Enter project description here…&gt;</v>
          </cell>
        </row>
      </sheetData>
      <sheetData sheetId="13"/>
      <sheetData sheetId="14"/>
      <sheetData sheetId="15"/>
      <sheetData sheetId="16"/>
      <sheetData sheetId="17">
        <row r="7">
          <cell r="M7" t="str">
            <v>Yes</v>
          </cell>
        </row>
        <row r="9">
          <cell r="M9" t="str">
            <v>2019-20</v>
          </cell>
        </row>
        <row r="13">
          <cell r="C13" t="str">
            <v>2018-19</v>
          </cell>
          <cell r="D13" t="str">
            <v>2019-20</v>
          </cell>
          <cell r="E13" t="str">
            <v>2020-21</v>
          </cell>
          <cell r="F13" t="str">
            <v>2021-22</v>
          </cell>
          <cell r="G13" t="str">
            <v>2022-23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1 Labour"/>
      <sheetName val="2.10 Overheads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>
        <row r="45">
          <cell r="G45" t="str">
            <v>2018-19</v>
          </cell>
        </row>
        <row r="46">
          <cell r="G46" t="str">
            <v>2019-20</v>
          </cell>
        </row>
        <row r="47">
          <cell r="E47" t="str">
            <v>2015-16</v>
          </cell>
          <cell r="G47" t="str">
            <v>2020-21</v>
          </cell>
        </row>
        <row r="48">
          <cell r="E48" t="str">
            <v>2016-17</v>
          </cell>
        </row>
        <row r="49">
          <cell r="E49" t="str">
            <v>2017-18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6">
          <cell r="E96">
            <v>10004</v>
          </cell>
        </row>
      </sheetData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 refreshError="1"/>
      <sheetData sheetId="1" refreshError="1"/>
      <sheetData sheetId="2" refreshError="1"/>
      <sheetData sheetId="3" refreshError="1">
        <row r="16">
          <cell r="B16" t="str">
            <v>AusNet (T)</v>
          </cell>
        </row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1349-E074-4941-A2EC-A9ED4AD5DE8E}">
  <dimension ref="B1:E55"/>
  <sheetViews>
    <sheetView tabSelected="1" zoomScale="130" zoomScaleNormal="130" workbookViewId="0">
      <selection activeCell="G25" sqref="G25"/>
    </sheetView>
  </sheetViews>
  <sheetFormatPr defaultRowHeight="15" x14ac:dyDescent="0.25"/>
  <cols>
    <col min="2" max="2" width="58.140625" customWidth="1"/>
    <col min="3" max="3" width="10.85546875" bestFit="1" customWidth="1"/>
    <col min="4" max="5" width="16.140625" customWidth="1"/>
  </cols>
  <sheetData>
    <row r="1" spans="2:5" ht="15.75" thickBot="1" x14ac:dyDescent="0.3">
      <c r="B1" s="224" t="s">
        <v>167</v>
      </c>
      <c r="C1" s="225"/>
    </row>
    <row r="2" spans="2:5" x14ac:dyDescent="0.25">
      <c r="B2" s="270" t="s">
        <v>1</v>
      </c>
      <c r="C2" s="268" t="s">
        <v>53</v>
      </c>
      <c r="D2" s="268" t="s">
        <v>54</v>
      </c>
      <c r="E2" s="268" t="s">
        <v>55</v>
      </c>
    </row>
    <row r="3" spans="2:5" ht="15.75" thickBot="1" x14ac:dyDescent="0.3">
      <c r="B3" s="271"/>
      <c r="C3" s="269"/>
      <c r="D3" s="269"/>
      <c r="E3" s="269"/>
    </row>
    <row r="4" spans="2:5" ht="15.75" thickBot="1" x14ac:dyDescent="0.3">
      <c r="B4" s="228" t="s">
        <v>134</v>
      </c>
      <c r="C4" s="216"/>
      <c r="D4" s="227"/>
      <c r="E4" s="216"/>
    </row>
    <row r="5" spans="2:5" ht="15.75" thickBot="1" x14ac:dyDescent="0.3">
      <c r="B5" s="217" t="s">
        <v>5</v>
      </c>
      <c r="C5" s="253">
        <f>'SC-AER Simulation Results'!M3</f>
        <v>0.1946</v>
      </c>
      <c r="D5" s="253">
        <f>'SC Input data and Target'!H5</f>
        <v>0.11418488973487524</v>
      </c>
      <c r="E5" s="253">
        <f>'SC-AER Simulation Results'!K3</f>
        <v>6.0199999999999997E-2</v>
      </c>
    </row>
    <row r="6" spans="2:5" ht="15.75" thickBot="1" x14ac:dyDescent="0.3">
      <c r="B6" s="217" t="s">
        <v>110</v>
      </c>
      <c r="C6" s="253">
        <f>'SC-AER Simulation Results'!M4</f>
        <v>0.3165</v>
      </c>
      <c r="D6" s="253">
        <f>'SC Input data and Target'!H6</f>
        <v>0.17611373134328356</v>
      </c>
      <c r="E6" s="253">
        <f>'SC-AER Simulation Results'!K4</f>
        <v>8.2299999999999998E-2</v>
      </c>
    </row>
    <row r="7" spans="2:5" ht="15.75" thickBot="1" x14ac:dyDescent="0.3">
      <c r="B7" s="217" t="s">
        <v>111</v>
      </c>
      <c r="C7" s="253">
        <f>'SC-AER Simulation Results'!M5</f>
        <v>0.31580000000000003</v>
      </c>
      <c r="D7" s="253">
        <f>'SC Input data and Target'!H7</f>
        <v>0.17956534206302141</v>
      </c>
      <c r="E7" s="253">
        <f>'SC-AER Simulation Results'!K5</f>
        <v>9.4799999999999995E-2</v>
      </c>
    </row>
    <row r="8" spans="2:5" ht="15.75" thickBot="1" x14ac:dyDescent="0.3">
      <c r="B8" s="217" t="s">
        <v>112</v>
      </c>
      <c r="C8" s="253">
        <f>'SC-AER Simulation Results'!M6</f>
        <v>0.19520000000000001</v>
      </c>
      <c r="D8" s="253">
        <f>'SC Input data and Target'!H8</f>
        <v>8.3851236235890997E-2</v>
      </c>
      <c r="E8" s="253">
        <f>'SC-AER Simulation Results'!K6</f>
        <v>1.1900000000000001E-2</v>
      </c>
    </row>
    <row r="9" spans="2:5" ht="15.75" thickBot="1" x14ac:dyDescent="0.3">
      <c r="B9" s="217" t="s">
        <v>113</v>
      </c>
      <c r="C9" s="253">
        <f>'SC-AER Simulation Results'!M7</f>
        <v>0.123</v>
      </c>
      <c r="D9" s="253">
        <f>'SC Input data and Target'!H9</f>
        <v>8.0589253731343291E-2</v>
      </c>
      <c r="E9" s="253">
        <f>'SC-AER Simulation Results'!K7</f>
        <v>4.6199999999999998E-2</v>
      </c>
    </row>
    <row r="10" spans="2:5" ht="15.75" thickBot="1" x14ac:dyDescent="0.3">
      <c r="B10" s="217" t="s">
        <v>114</v>
      </c>
      <c r="C10" s="253">
        <f>'SC-AER Simulation Results'!M8</f>
        <v>0.24629999999999999</v>
      </c>
      <c r="D10" s="253">
        <f>'SC Input data and Target'!H10</f>
        <v>0.13722268670339471</v>
      </c>
      <c r="E10" s="253">
        <f>'SC-AER Simulation Results'!K8</f>
        <v>1.2999999999999999E-2</v>
      </c>
    </row>
    <row r="11" spans="2:5" ht="15.75" thickBot="1" x14ac:dyDescent="0.3">
      <c r="B11" s="228" t="s">
        <v>135</v>
      </c>
      <c r="C11" s="237"/>
      <c r="D11" s="238"/>
      <c r="E11" s="237"/>
    </row>
    <row r="12" spans="2:5" ht="15.75" thickBot="1" x14ac:dyDescent="0.3">
      <c r="B12" s="217" t="s">
        <v>116</v>
      </c>
      <c r="C12" s="254">
        <f>'SC-AER Simulation Results'!M21</f>
        <v>5</v>
      </c>
      <c r="D12" s="254">
        <f>'SC Input data and Target'!H12</f>
        <v>2.4</v>
      </c>
      <c r="E12" s="254">
        <f>'SC-AER Simulation Results'!K21</f>
        <v>0</v>
      </c>
    </row>
    <row r="13" spans="2:5" ht="15.75" thickBot="1" x14ac:dyDescent="0.3">
      <c r="B13" s="217" t="s">
        <v>117</v>
      </c>
      <c r="C13" s="254">
        <f>'SC-AER Simulation Results'!M22</f>
        <v>3</v>
      </c>
      <c r="D13" s="254">
        <f>'SC Input data and Target'!H13</f>
        <v>1.2</v>
      </c>
      <c r="E13" s="254">
        <f>'SC-AER Simulation Results'!K22</f>
        <v>0</v>
      </c>
    </row>
    <row r="14" spans="2:5" ht="15.75" thickBot="1" x14ac:dyDescent="0.3">
      <c r="B14" s="228" t="s">
        <v>136</v>
      </c>
      <c r="C14" s="237"/>
      <c r="D14" s="229"/>
      <c r="E14" s="237"/>
    </row>
    <row r="15" spans="2:5" ht="15.75" thickBot="1" x14ac:dyDescent="0.3">
      <c r="B15" s="217" t="s">
        <v>119</v>
      </c>
      <c r="C15" s="255">
        <f>'SC-AER Simulation Results'!M9</f>
        <v>450.1</v>
      </c>
      <c r="D15" s="255">
        <f>'SC Input data and Target'!H14</f>
        <v>263.66477499999996</v>
      </c>
      <c r="E15" s="255">
        <f>'SC-AER Simulation Results'!K9</f>
        <v>88.06</v>
      </c>
    </row>
    <row r="16" spans="2:5" ht="15.75" thickBot="1" x14ac:dyDescent="0.3">
      <c r="B16" s="228" t="s">
        <v>137</v>
      </c>
      <c r="C16" s="237"/>
      <c r="D16" s="229"/>
      <c r="E16" s="237"/>
    </row>
    <row r="17" spans="2:5" ht="15.75" thickBot="1" x14ac:dyDescent="0.3">
      <c r="B17" s="217" t="s">
        <v>16</v>
      </c>
      <c r="C17" s="254">
        <f>'SC-AER Simulation Results'!M23</f>
        <v>27</v>
      </c>
      <c r="D17" s="254">
        <f>'SC Input data and Target'!H16</f>
        <v>8.6</v>
      </c>
      <c r="E17" s="254">
        <f>'SC-AER Simulation Results'!K23</f>
        <v>0</v>
      </c>
    </row>
    <row r="18" spans="2:5" ht="15.75" thickBot="1" x14ac:dyDescent="0.3">
      <c r="B18" s="217" t="s">
        <v>17</v>
      </c>
      <c r="C18" s="254">
        <f>'SC-AER Simulation Results'!M24</f>
        <v>2</v>
      </c>
      <c r="D18" s="254">
        <f>'SC Input data and Target'!H17</f>
        <v>0.4</v>
      </c>
      <c r="E18" s="254">
        <f>'SC-AER Simulation Results'!K24</f>
        <v>0</v>
      </c>
    </row>
    <row r="19" spans="2:5" ht="15.75" thickBot="1" x14ac:dyDescent="0.3">
      <c r="B19" s="217" t="s">
        <v>18</v>
      </c>
      <c r="C19" s="254">
        <f>'SC-AER Simulation Results'!M25</f>
        <v>12</v>
      </c>
      <c r="D19" s="254">
        <f>'SC Input data and Target'!H18</f>
        <v>7.6</v>
      </c>
      <c r="E19" s="254">
        <f>'SC-AER Simulation Results'!K25</f>
        <v>3</v>
      </c>
    </row>
    <row r="20" spans="2:5" x14ac:dyDescent="0.25">
      <c r="B20" s="218"/>
    </row>
    <row r="21" spans="2:5" ht="15.75" thickBot="1" x14ac:dyDescent="0.3">
      <c r="B21" s="224" t="s">
        <v>168</v>
      </c>
      <c r="C21" s="224"/>
      <c r="D21" s="224"/>
      <c r="E21" s="224"/>
    </row>
    <row r="22" spans="2:5" x14ac:dyDescent="0.25">
      <c r="B22" s="270" t="s">
        <v>1</v>
      </c>
      <c r="C22" s="270"/>
    </row>
    <row r="23" spans="2:5" ht="15.75" thickBot="1" x14ac:dyDescent="0.3">
      <c r="B23" s="271"/>
      <c r="C23" s="271"/>
    </row>
    <row r="24" spans="2:5" ht="15.75" thickBot="1" x14ac:dyDescent="0.3">
      <c r="B24" s="217" t="s">
        <v>121</v>
      </c>
      <c r="C24" s="222">
        <f>MIC!D28</f>
        <v>8202</v>
      </c>
    </row>
    <row r="25" spans="2:5" ht="15.75" thickBot="1" x14ac:dyDescent="0.3">
      <c r="B25" s="217" t="s">
        <v>122</v>
      </c>
      <c r="C25" s="222">
        <f>MIC!D33</f>
        <v>1395</v>
      </c>
    </row>
    <row r="26" spans="2:5" ht="15.75" thickBot="1" x14ac:dyDescent="0.3">
      <c r="B26" s="217" t="s">
        <v>123</v>
      </c>
      <c r="C26" s="250">
        <f>1000000*'AER-ENet Smoothed Revenue'!D4*0.01/'Final Decision'!C24</f>
        <v>483.04775811398741</v>
      </c>
    </row>
    <row r="27" spans="2:5" x14ac:dyDescent="0.25">
      <c r="B27" s="219"/>
    </row>
    <row r="28" spans="2:5" ht="15.75" thickBot="1" x14ac:dyDescent="0.3">
      <c r="B28" s="226" t="s">
        <v>169</v>
      </c>
      <c r="C28" s="226"/>
      <c r="D28" s="226"/>
      <c r="E28" s="226"/>
    </row>
    <row r="29" spans="2:5" ht="36.75" thickBot="1" x14ac:dyDescent="0.3">
      <c r="B29" s="220" t="s">
        <v>124</v>
      </c>
      <c r="C29" s="221" t="s">
        <v>165</v>
      </c>
      <c r="D29" s="221" t="s">
        <v>166</v>
      </c>
      <c r="E29" s="221" t="s">
        <v>125</v>
      </c>
    </row>
    <row r="30" spans="2:5" ht="15.75" thickBot="1" x14ac:dyDescent="0.3">
      <c r="B30" s="217" t="s">
        <v>126</v>
      </c>
      <c r="C30" s="222">
        <v>2.4</v>
      </c>
      <c r="D30" s="222"/>
      <c r="E30" s="222">
        <v>2.4</v>
      </c>
    </row>
    <row r="31" spans="2:5" ht="15.75" thickBot="1" x14ac:dyDescent="0.3">
      <c r="B31" s="217" t="s">
        <v>127</v>
      </c>
      <c r="C31" s="222">
        <v>1.5</v>
      </c>
      <c r="D31" s="222"/>
      <c r="E31" s="222">
        <v>1.5</v>
      </c>
    </row>
    <row r="32" spans="2:5" ht="15.75" thickBot="1" x14ac:dyDescent="0.3">
      <c r="B32" s="217" t="s">
        <v>128</v>
      </c>
      <c r="C32" s="222">
        <v>1.8</v>
      </c>
      <c r="D32" s="222">
        <v>4.2</v>
      </c>
      <c r="E32" s="222">
        <v>5.9</v>
      </c>
    </row>
    <row r="33" spans="2:5" ht="24.75" thickBot="1" x14ac:dyDescent="0.3">
      <c r="B33" s="217" t="s">
        <v>129</v>
      </c>
      <c r="C33" s="222">
        <v>5</v>
      </c>
      <c r="D33" s="222"/>
      <c r="E33" s="222">
        <v>5</v>
      </c>
    </row>
    <row r="34" spans="2:5" ht="15.75" thickBot="1" x14ac:dyDescent="0.3">
      <c r="B34" s="215" t="s">
        <v>130</v>
      </c>
      <c r="C34" s="223">
        <v>10.7</v>
      </c>
      <c r="D34" s="223">
        <v>4.2</v>
      </c>
      <c r="E34" s="223">
        <v>14.8</v>
      </c>
    </row>
    <row r="35" spans="2:5" x14ac:dyDescent="0.25">
      <c r="B35" s="218"/>
    </row>
    <row r="36" spans="2:5" ht="15.75" thickBot="1" x14ac:dyDescent="0.3">
      <c r="B36" s="226" t="s">
        <v>170</v>
      </c>
      <c r="C36" s="226"/>
      <c r="D36" s="226"/>
      <c r="E36" s="226"/>
    </row>
    <row r="37" spans="2:5" x14ac:dyDescent="0.25">
      <c r="B37" s="270" t="s">
        <v>1</v>
      </c>
      <c r="C37" s="270" t="s">
        <v>131</v>
      </c>
      <c r="D37" s="239" t="s">
        <v>53</v>
      </c>
      <c r="E37" s="239" t="s">
        <v>55</v>
      </c>
    </row>
    <row r="38" spans="2:5" ht="15.75" thickBot="1" x14ac:dyDescent="0.3">
      <c r="B38" s="271"/>
      <c r="C38" s="271"/>
      <c r="D38" s="240" t="s">
        <v>133</v>
      </c>
      <c r="E38" s="240" t="s">
        <v>132</v>
      </c>
    </row>
    <row r="39" spans="2:5" ht="15.75" thickBot="1" x14ac:dyDescent="0.3">
      <c r="B39" s="228" t="s">
        <v>109</v>
      </c>
      <c r="C39" s="227"/>
      <c r="D39" s="227"/>
      <c r="E39" s="227"/>
    </row>
    <row r="40" spans="2:5" ht="15.75" thickBot="1" x14ac:dyDescent="0.3">
      <c r="B40" s="217" t="s">
        <v>5</v>
      </c>
      <c r="C40" s="227" t="str">
        <f>'SC-AER Simulation Results'!B3</f>
        <v>LogLogisitc</v>
      </c>
      <c r="D40" s="256">
        <f t="shared" ref="D40:D45" si="0">C5</f>
        <v>0.1946</v>
      </c>
      <c r="E40" s="256">
        <f t="shared" ref="E40:E45" si="1">E5</f>
        <v>6.0199999999999997E-2</v>
      </c>
    </row>
    <row r="41" spans="2:5" ht="15.75" thickBot="1" x14ac:dyDescent="0.3">
      <c r="B41" s="217" t="s">
        <v>110</v>
      </c>
      <c r="C41" s="227" t="str">
        <f>'SC-AER Simulation Results'!B4</f>
        <v>LogLogistic</v>
      </c>
      <c r="D41" s="256">
        <f t="shared" si="0"/>
        <v>0.3165</v>
      </c>
      <c r="E41" s="256">
        <f t="shared" si="1"/>
        <v>8.2299999999999998E-2</v>
      </c>
    </row>
    <row r="42" spans="2:5" ht="15.75" thickBot="1" x14ac:dyDescent="0.3">
      <c r="B42" s="217" t="s">
        <v>111</v>
      </c>
      <c r="C42" s="227" t="str">
        <f>'SC-AER Simulation Results'!B5</f>
        <v>Pearson5</v>
      </c>
      <c r="D42" s="256">
        <f t="shared" si="0"/>
        <v>0.31580000000000003</v>
      </c>
      <c r="E42" s="256">
        <f t="shared" si="1"/>
        <v>9.4799999999999995E-2</v>
      </c>
    </row>
    <row r="43" spans="2:5" ht="15.75" thickBot="1" x14ac:dyDescent="0.3">
      <c r="B43" s="217" t="s">
        <v>112</v>
      </c>
      <c r="C43" s="227" t="str">
        <f>'SC-AER Simulation Results'!B6</f>
        <v>Weibull</v>
      </c>
      <c r="D43" s="256">
        <f t="shared" si="0"/>
        <v>0.19520000000000001</v>
      </c>
      <c r="E43" s="256">
        <f t="shared" si="1"/>
        <v>1.1900000000000001E-2</v>
      </c>
    </row>
    <row r="44" spans="2:5" ht="15.75" thickBot="1" x14ac:dyDescent="0.3">
      <c r="B44" s="217" t="s">
        <v>113</v>
      </c>
      <c r="C44" s="227" t="str">
        <f>'SC-AER Simulation Results'!B7</f>
        <v>LogLogistic</v>
      </c>
      <c r="D44" s="256">
        <f t="shared" si="0"/>
        <v>0.123</v>
      </c>
      <c r="E44" s="256">
        <f t="shared" si="1"/>
        <v>4.6199999999999998E-2</v>
      </c>
    </row>
    <row r="45" spans="2:5" ht="15.75" thickBot="1" x14ac:dyDescent="0.3">
      <c r="B45" s="217" t="s">
        <v>114</v>
      </c>
      <c r="C45" s="227" t="str">
        <f>'SC-AER Simulation Results'!B8</f>
        <v>Uniform</v>
      </c>
      <c r="D45" s="256">
        <f t="shared" si="0"/>
        <v>0.24629999999999999</v>
      </c>
      <c r="E45" s="256">
        <f t="shared" si="1"/>
        <v>1.2999999999999999E-2</v>
      </c>
    </row>
    <row r="46" spans="2:5" ht="15.75" thickBot="1" x14ac:dyDescent="0.3">
      <c r="B46" s="228" t="s">
        <v>115</v>
      </c>
      <c r="C46" s="227"/>
      <c r="D46" s="241"/>
      <c r="E46" s="241"/>
    </row>
    <row r="47" spans="2:5" ht="15.75" thickBot="1" x14ac:dyDescent="0.3">
      <c r="B47" s="217" t="s">
        <v>116</v>
      </c>
      <c r="C47" s="227" t="str">
        <f>'SC-AER Simulation Results'!B21</f>
        <v>Poisson</v>
      </c>
      <c r="D47" s="242">
        <f>C12</f>
        <v>5</v>
      </c>
      <c r="E47" s="242">
        <f>E12</f>
        <v>0</v>
      </c>
    </row>
    <row r="48" spans="2:5" ht="15.75" thickBot="1" x14ac:dyDescent="0.3">
      <c r="B48" s="217" t="s">
        <v>117</v>
      </c>
      <c r="C48" s="227" t="str">
        <f>'SC-AER Simulation Results'!B22</f>
        <v>Poisson</v>
      </c>
      <c r="D48" s="242">
        <f>C13</f>
        <v>3</v>
      </c>
      <c r="E48" s="242">
        <f>E13</f>
        <v>0</v>
      </c>
    </row>
    <row r="49" spans="2:5" ht="15.75" thickBot="1" x14ac:dyDescent="0.3">
      <c r="B49" s="228" t="s">
        <v>118</v>
      </c>
      <c r="C49" s="227"/>
      <c r="D49" s="242"/>
      <c r="E49" s="242"/>
    </row>
    <row r="50" spans="2:5" ht="15.75" thickBot="1" x14ac:dyDescent="0.3">
      <c r="B50" s="217" t="s">
        <v>119</v>
      </c>
      <c r="C50" s="227" t="str">
        <f>'SC-AER Simulation Results'!B9</f>
        <v>LogLogistic</v>
      </c>
      <c r="D50" s="257">
        <f>C15</f>
        <v>450.1</v>
      </c>
      <c r="E50" s="257">
        <f>E15</f>
        <v>88.06</v>
      </c>
    </row>
    <row r="51" spans="2:5" ht="15.75" thickBot="1" x14ac:dyDescent="0.3">
      <c r="B51" s="228" t="s">
        <v>120</v>
      </c>
      <c r="C51" s="227"/>
      <c r="D51" s="242"/>
      <c r="E51" s="242"/>
    </row>
    <row r="52" spans="2:5" ht="15.75" thickBot="1" x14ac:dyDescent="0.3">
      <c r="B52" s="217" t="s">
        <v>16</v>
      </c>
      <c r="C52" s="227" t="str">
        <f>'SC-AER Simulation Results'!B23</f>
        <v>Geomet</v>
      </c>
      <c r="D52" s="242">
        <f>C17</f>
        <v>27</v>
      </c>
      <c r="E52" s="242">
        <f>E17</f>
        <v>0</v>
      </c>
    </row>
    <row r="53" spans="2:5" ht="15.75" thickBot="1" x14ac:dyDescent="0.3">
      <c r="B53" s="217" t="s">
        <v>17</v>
      </c>
      <c r="C53" s="227" t="str">
        <f>'SC-AER Simulation Results'!B24</f>
        <v>Geomet</v>
      </c>
      <c r="D53" s="242">
        <f>C18</f>
        <v>2</v>
      </c>
      <c r="E53" s="242">
        <f>E18</f>
        <v>0</v>
      </c>
    </row>
    <row r="54" spans="2:5" ht="15.75" thickBot="1" x14ac:dyDescent="0.3">
      <c r="B54" s="217" t="s">
        <v>18</v>
      </c>
      <c r="C54" s="227" t="str">
        <f>'SC-AER Simulation Results'!B25</f>
        <v>Poisson</v>
      </c>
      <c r="D54" s="242">
        <f>C19</f>
        <v>12</v>
      </c>
      <c r="E54" s="242">
        <f>E19</f>
        <v>3</v>
      </c>
    </row>
    <row r="55" spans="2:5" x14ac:dyDescent="0.25">
      <c r="B55" s="214"/>
    </row>
  </sheetData>
  <mergeCells count="8">
    <mergeCell ref="E2:E3"/>
    <mergeCell ref="B22:B23"/>
    <mergeCell ref="C22:C23"/>
    <mergeCell ref="B37:B38"/>
    <mergeCell ref="C37:C38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7037-D978-4AFE-9D1E-117D29FCE0C6}">
  <dimension ref="A1:H18"/>
  <sheetViews>
    <sheetView workbookViewId="0">
      <selection activeCell="M11" sqref="M11"/>
    </sheetView>
  </sheetViews>
  <sheetFormatPr defaultRowHeight="15" x14ac:dyDescent="0.25"/>
  <cols>
    <col min="1" max="1" width="51.7109375" customWidth="1"/>
    <col min="8" max="8" width="28.42578125" bestFit="1" customWidth="1"/>
  </cols>
  <sheetData>
    <row r="1" spans="1:8" ht="19.5" thickBo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72" t="s">
        <v>1</v>
      </c>
      <c r="B2" s="274" t="s">
        <v>2</v>
      </c>
      <c r="C2" s="275"/>
      <c r="D2" s="275"/>
      <c r="E2" s="275"/>
      <c r="F2" s="275"/>
      <c r="G2" s="276"/>
      <c r="H2" s="277" t="s">
        <v>3</v>
      </c>
    </row>
    <row r="3" spans="1:8" ht="15.75" thickBot="1" x14ac:dyDescent="0.3">
      <c r="A3" s="273"/>
      <c r="B3" s="3" t="str">
        <f>(LEFT(PRCP_y3,2)&amp;RIGHT(PRCP_y3,2))</f>
        <v>2016</v>
      </c>
      <c r="C3" s="4" t="str">
        <f>LEFT(PRCP_y4,2)&amp;RIGHT(PRCP_y4,2)</f>
        <v>2017</v>
      </c>
      <c r="D3" s="4" t="str">
        <f>LEFT(PRCP_y5,2)&amp;RIGHT(PRCP_y5,2)</f>
        <v>2018</v>
      </c>
      <c r="E3" s="4" t="str">
        <f>(LEFT(CRCP_y1,2)&amp;RIGHT(CRCP_y1,2))</f>
        <v>2019</v>
      </c>
      <c r="F3" s="4" t="str">
        <f>(LEFT(CRCP_y2,2)&amp;RIGHT(CRCP_y2,2))</f>
        <v>2020</v>
      </c>
      <c r="G3" s="4" t="str">
        <f>(LEFT(CRCP_y3,2)&amp;RIGHT(CRCP_y3,2))</f>
        <v>2021</v>
      </c>
      <c r="H3" s="278"/>
    </row>
    <row r="4" spans="1:8" x14ac:dyDescent="0.25">
      <c r="A4" s="5" t="s">
        <v>4</v>
      </c>
      <c r="B4" s="6"/>
      <c r="C4" s="6"/>
      <c r="D4" s="6"/>
      <c r="E4" s="6"/>
      <c r="F4" s="6"/>
      <c r="G4" s="6"/>
      <c r="H4" s="6"/>
    </row>
    <row r="5" spans="1:8" x14ac:dyDescent="0.25">
      <c r="A5" s="7" t="s">
        <v>5</v>
      </c>
      <c r="B5" s="8">
        <v>0.32085561497326204</v>
      </c>
      <c r="C5" s="8">
        <v>7.3394495412844041E-2</v>
      </c>
      <c r="D5" s="8">
        <v>0.15178571428571427</v>
      </c>
      <c r="E5" s="9">
        <v>0.10526315789473684</v>
      </c>
      <c r="F5" s="8">
        <v>0.15939999999999999</v>
      </c>
      <c r="G5" s="8">
        <v>8.1081081081081072E-2</v>
      </c>
      <c r="H5" s="10">
        <f>+AVERAGE(C5:G5)</f>
        <v>0.11418488973487524</v>
      </c>
    </row>
    <row r="6" spans="1:8" x14ac:dyDescent="0.25">
      <c r="A6" s="7" t="s">
        <v>6</v>
      </c>
      <c r="B6" s="8">
        <v>0.35294117647058826</v>
      </c>
      <c r="C6" s="8">
        <v>0.13432835820895522</v>
      </c>
      <c r="D6" s="8">
        <v>0.26865671641791045</v>
      </c>
      <c r="E6" s="9">
        <v>0.2388059701492537</v>
      </c>
      <c r="F6" s="8">
        <v>0.1343</v>
      </c>
      <c r="G6" s="8">
        <v>0.10447761194029848</v>
      </c>
      <c r="H6" s="10">
        <f t="shared" ref="H6:H10" si="0">+AVERAGE(C6:G6)</f>
        <v>0.17611373134328356</v>
      </c>
    </row>
    <row r="7" spans="1:8" x14ac:dyDescent="0.25">
      <c r="A7" s="7" t="s">
        <v>7</v>
      </c>
      <c r="B7" s="8">
        <v>0.5135135135135136</v>
      </c>
      <c r="C7" s="8">
        <v>0.1891891891891892</v>
      </c>
      <c r="D7" s="8">
        <v>0.15789473684210525</v>
      </c>
      <c r="E7" s="9">
        <v>0.31578947368421051</v>
      </c>
      <c r="F7" s="8">
        <v>0.1053</v>
      </c>
      <c r="G7" s="8">
        <v>0.12965331059960217</v>
      </c>
      <c r="H7" s="10">
        <f t="shared" si="0"/>
        <v>0.17956534206302141</v>
      </c>
    </row>
    <row r="8" spans="1:8" x14ac:dyDescent="0.25">
      <c r="A8" s="7" t="s">
        <v>8</v>
      </c>
      <c r="B8" s="8">
        <v>8.0213903743315509E-2</v>
      </c>
      <c r="C8" s="8">
        <v>8.2568807339449546E-2</v>
      </c>
      <c r="D8" s="8">
        <v>8.9285714285714274E-2</v>
      </c>
      <c r="E8" s="9">
        <v>0.17543859649122806</v>
      </c>
      <c r="F8" s="8">
        <v>8.8999999999999999E-3</v>
      </c>
      <c r="G8" s="8">
        <v>6.3063063063063057E-2</v>
      </c>
      <c r="H8" s="10">
        <f t="shared" si="0"/>
        <v>8.3851236235890997E-2</v>
      </c>
    </row>
    <row r="9" spans="1:8" x14ac:dyDescent="0.25">
      <c r="A9" s="7" t="s">
        <v>9</v>
      </c>
      <c r="B9" s="8">
        <v>3.6764705882352942E-2</v>
      </c>
      <c r="C9" s="8">
        <v>6.7164179104477612E-2</v>
      </c>
      <c r="D9" s="8">
        <v>8.2089552238805957E-2</v>
      </c>
      <c r="E9" s="9">
        <v>7.4626865671641784E-2</v>
      </c>
      <c r="F9" s="8">
        <v>5.2200000000000003E-2</v>
      </c>
      <c r="G9" s="8">
        <v>0.12686567164179105</v>
      </c>
      <c r="H9" s="10">
        <f t="shared" si="0"/>
        <v>8.0589253731343291E-2</v>
      </c>
    </row>
    <row r="10" spans="1:8" ht="15.75" thickBot="1" x14ac:dyDescent="0.3">
      <c r="A10" s="12" t="s">
        <v>10</v>
      </c>
      <c r="B10" s="13">
        <v>0.1891891891891892</v>
      </c>
      <c r="C10" s="13">
        <v>0.1891891891891892</v>
      </c>
      <c r="D10" s="13">
        <v>7.8947368421052627E-2</v>
      </c>
      <c r="E10" s="9">
        <v>5.2631578947368418E-2</v>
      </c>
      <c r="F10" s="8">
        <v>0.15790000000000001</v>
      </c>
      <c r="G10" s="8">
        <v>0.20744529695936345</v>
      </c>
      <c r="H10" s="10">
        <f t="shared" si="0"/>
        <v>0.13722268670339471</v>
      </c>
    </row>
    <row r="11" spans="1:8" x14ac:dyDescent="0.25">
      <c r="A11" s="5" t="s">
        <v>11</v>
      </c>
      <c r="B11" s="6"/>
      <c r="C11" s="6"/>
      <c r="D11" s="6"/>
      <c r="E11" s="6"/>
      <c r="F11" s="6"/>
      <c r="G11" s="6"/>
      <c r="H11" s="6"/>
    </row>
    <row r="12" spans="1:8" x14ac:dyDescent="0.25">
      <c r="A12" s="7" t="s">
        <v>12</v>
      </c>
      <c r="B12" s="14">
        <v>5</v>
      </c>
      <c r="C12" s="14">
        <v>4</v>
      </c>
      <c r="D12" s="14">
        <v>3</v>
      </c>
      <c r="E12" s="14">
        <v>4</v>
      </c>
      <c r="F12" s="14">
        <v>1</v>
      </c>
      <c r="G12" s="16">
        <v>0</v>
      </c>
      <c r="H12" s="10">
        <f>+AVERAGE(C12:G12)</f>
        <v>2.4</v>
      </c>
    </row>
    <row r="13" spans="1:8" ht="15.75" thickBot="1" x14ac:dyDescent="0.3">
      <c r="A13" s="15" t="s">
        <v>13</v>
      </c>
      <c r="B13" s="16">
        <v>2</v>
      </c>
      <c r="C13" s="16">
        <v>1</v>
      </c>
      <c r="D13" s="16">
        <v>2</v>
      </c>
      <c r="E13" s="16">
        <v>3</v>
      </c>
      <c r="F13" s="16">
        <v>0</v>
      </c>
      <c r="G13" s="16">
        <v>0</v>
      </c>
      <c r="H13" s="10">
        <f>+AVERAGE(C13:G13)</f>
        <v>1.2</v>
      </c>
    </row>
    <row r="14" spans="1:8" ht="15.75" thickBot="1" x14ac:dyDescent="0.3">
      <c r="A14" s="17" t="s">
        <v>14</v>
      </c>
      <c r="B14" s="18">
        <v>250.57142857142784</v>
      </c>
      <c r="C14" s="251" t="s">
        <v>179</v>
      </c>
      <c r="D14" s="251">
        <v>462.63639999999998</v>
      </c>
      <c r="E14" s="251">
        <v>192.27269999999999</v>
      </c>
      <c r="F14" s="251">
        <v>204.75</v>
      </c>
      <c r="G14" s="251">
        <v>195</v>
      </c>
      <c r="H14" s="10">
        <f>+AVERAGE(C14:G14)</f>
        <v>263.66477499999996</v>
      </c>
    </row>
    <row r="15" spans="1:8" x14ac:dyDescent="0.25">
      <c r="A15" s="5" t="s">
        <v>15</v>
      </c>
      <c r="B15" s="6"/>
      <c r="C15" s="6"/>
      <c r="D15" s="6"/>
      <c r="E15" s="6"/>
      <c r="F15" s="6"/>
      <c r="G15" s="6"/>
      <c r="H15" s="6"/>
    </row>
    <row r="16" spans="1:8" x14ac:dyDescent="0.25">
      <c r="A16" s="7" t="s">
        <v>16</v>
      </c>
      <c r="B16" s="14">
        <v>17</v>
      </c>
      <c r="C16" s="14">
        <v>9</v>
      </c>
      <c r="D16" s="14">
        <v>18</v>
      </c>
      <c r="E16" s="14">
        <v>6</v>
      </c>
      <c r="F16" s="14">
        <v>3</v>
      </c>
      <c r="G16" s="14">
        <v>7</v>
      </c>
      <c r="H16" s="10">
        <f>+AVERAGE(C16:G16)</f>
        <v>8.6</v>
      </c>
    </row>
    <row r="17" spans="1:8" x14ac:dyDescent="0.25">
      <c r="A17" s="7" t="s">
        <v>17</v>
      </c>
      <c r="B17" s="14">
        <v>2</v>
      </c>
      <c r="C17" s="14">
        <v>0</v>
      </c>
      <c r="D17" s="14">
        <v>2</v>
      </c>
      <c r="E17" s="14">
        <v>0</v>
      </c>
      <c r="F17" s="14">
        <v>0</v>
      </c>
      <c r="G17" s="14">
        <v>0</v>
      </c>
      <c r="H17" s="10">
        <f>+AVERAGE(C17:G17)</f>
        <v>0.4</v>
      </c>
    </row>
    <row r="18" spans="1:8" ht="27" thickBot="1" x14ac:dyDescent="0.3">
      <c r="A18" s="19" t="s">
        <v>18</v>
      </c>
      <c r="B18" s="20">
        <v>10</v>
      </c>
      <c r="C18" s="20">
        <v>7</v>
      </c>
      <c r="D18" s="20">
        <v>13</v>
      </c>
      <c r="E18" s="20">
        <v>6</v>
      </c>
      <c r="F18" s="20">
        <v>4</v>
      </c>
      <c r="G18" s="20">
        <v>8</v>
      </c>
      <c r="H18" s="10">
        <f>+AVERAGE(C18:G18)</f>
        <v>7.6</v>
      </c>
    </row>
  </sheetData>
  <mergeCells count="3">
    <mergeCell ref="A2:A3"/>
    <mergeCell ref="B2:G2"/>
    <mergeCell ref="H2:H3"/>
  </mergeCells>
  <pageMargins left="0.7" right="0.7" top="0.75" bottom="0.75" header="0.3" footer="0.3"/>
  <pageSetup paperSize="9" orientation="portrait" r:id="rId1"/>
  <ignoredErrors>
    <ignoredError sqref="H5:H10 H12:H13 H16:H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0F7F-8EF9-40C3-9653-F7BBDC327C65}">
  <dimension ref="A1:M31"/>
  <sheetViews>
    <sheetView zoomScale="80" zoomScaleNormal="80" workbookViewId="0">
      <selection activeCell="M23" sqref="M23"/>
    </sheetView>
  </sheetViews>
  <sheetFormatPr defaultRowHeight="15" x14ac:dyDescent="0.25"/>
  <cols>
    <col min="1" max="1" width="44.5703125" customWidth="1"/>
    <col min="2" max="2" width="34" customWidth="1"/>
    <col min="3" max="3" width="18.85546875" bestFit="1" customWidth="1"/>
    <col min="4" max="4" width="15.28515625" bestFit="1" customWidth="1"/>
    <col min="5" max="5" width="25" bestFit="1" customWidth="1"/>
    <col min="6" max="6" width="22.28515625" bestFit="1" customWidth="1"/>
    <col min="7" max="8" width="11.42578125" bestFit="1" customWidth="1"/>
    <col min="9" max="10" width="13.5703125" bestFit="1" customWidth="1"/>
    <col min="11" max="11" width="33.85546875" bestFit="1" customWidth="1"/>
    <col min="12" max="12" width="32.7109375" bestFit="1" customWidth="1"/>
    <col min="13" max="13" width="33.85546875" bestFit="1" customWidth="1"/>
  </cols>
  <sheetData>
    <row r="1" spans="1:13" x14ac:dyDescent="0.25">
      <c r="A1" t="s">
        <v>138</v>
      </c>
    </row>
    <row r="2" spans="1:13" x14ac:dyDescent="0.25">
      <c r="B2" t="s">
        <v>131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</row>
    <row r="3" spans="1:13" x14ac:dyDescent="0.25">
      <c r="A3" s="230" t="s">
        <v>5</v>
      </c>
      <c r="B3" t="s">
        <v>150</v>
      </c>
      <c r="C3" s="231">
        <v>0.2452</v>
      </c>
      <c r="D3">
        <v>0.1142</v>
      </c>
      <c r="E3">
        <v>0.11559999999999999</v>
      </c>
      <c r="F3">
        <v>4.5499999999999999E-2</v>
      </c>
      <c r="G3" s="231">
        <f>E3+F3</f>
        <v>0.16109999999999999</v>
      </c>
      <c r="H3" s="231">
        <f>E3+2*F3</f>
        <v>0.20660000000000001</v>
      </c>
      <c r="I3" s="231">
        <f>E3-F3</f>
        <v>7.0099999999999996E-2</v>
      </c>
      <c r="J3" s="231">
        <f>E3-2*F3</f>
        <v>2.4599999999999997E-2</v>
      </c>
      <c r="K3">
        <v>6.0199999999999997E-2</v>
      </c>
      <c r="L3">
        <v>0.1082</v>
      </c>
      <c r="M3" s="231">
        <v>0.1946</v>
      </c>
    </row>
    <row r="4" spans="1:13" x14ac:dyDescent="0.25">
      <c r="A4" s="230" t="s">
        <v>6</v>
      </c>
      <c r="B4" t="s">
        <v>151</v>
      </c>
      <c r="C4" s="231">
        <v>0.29010000000000002</v>
      </c>
      <c r="D4" s="231">
        <v>0.17610000000000001</v>
      </c>
      <c r="E4" s="231">
        <v>0.17610000000000001</v>
      </c>
      <c r="F4">
        <v>8.2100000000000006E-2</v>
      </c>
      <c r="G4" s="231">
        <f>E4+F4</f>
        <v>0.25819999999999999</v>
      </c>
      <c r="H4" s="231">
        <f>E4+2*F4</f>
        <v>0.34030000000000005</v>
      </c>
      <c r="I4" s="231">
        <f>E4-F4</f>
        <v>9.4E-2</v>
      </c>
      <c r="J4" s="231">
        <f>E4-2*F4</f>
        <v>1.1899999999999994E-2</v>
      </c>
      <c r="K4">
        <v>8.2299999999999998E-2</v>
      </c>
      <c r="L4" s="231">
        <v>0.1613</v>
      </c>
      <c r="M4" s="231">
        <v>0.3165</v>
      </c>
    </row>
    <row r="5" spans="1:13" x14ac:dyDescent="0.25">
      <c r="A5" s="230" t="s">
        <v>7</v>
      </c>
      <c r="B5" t="s">
        <v>152</v>
      </c>
      <c r="C5" s="231">
        <v>0.15</v>
      </c>
      <c r="D5" s="231">
        <v>0.17960000000000001</v>
      </c>
      <c r="E5" s="231">
        <v>0.1789</v>
      </c>
      <c r="F5">
        <v>7.3700000000000002E-2</v>
      </c>
      <c r="G5" s="231">
        <f t="shared" ref="G5:G9" si="0">E5+F5</f>
        <v>0.25259999999999999</v>
      </c>
      <c r="H5" s="231">
        <f t="shared" ref="H5:H9" si="1">E5+2*F5</f>
        <v>0.32630000000000003</v>
      </c>
      <c r="I5" s="231">
        <f t="shared" ref="I5:I9" si="2">E5-F5</f>
        <v>0.1052</v>
      </c>
      <c r="J5" s="231">
        <f t="shared" ref="J5:J9" si="3">E5-2*F5</f>
        <v>3.15E-2</v>
      </c>
      <c r="K5">
        <v>9.4799999999999995E-2</v>
      </c>
      <c r="L5" s="231">
        <v>0.16309999999999999</v>
      </c>
      <c r="M5" s="231">
        <v>0.31580000000000003</v>
      </c>
    </row>
    <row r="6" spans="1:13" x14ac:dyDescent="0.25">
      <c r="A6" s="230" t="s">
        <v>8</v>
      </c>
      <c r="B6" t="s">
        <v>153</v>
      </c>
      <c r="C6" s="231">
        <v>0.24030000000000001</v>
      </c>
      <c r="D6" s="231">
        <v>8.3900000000000002E-2</v>
      </c>
      <c r="E6" s="231">
        <v>8.3099999999999993E-2</v>
      </c>
      <c r="F6" s="231">
        <v>5.8200000000000002E-2</v>
      </c>
      <c r="G6" s="231">
        <f t="shared" si="0"/>
        <v>0.14129999999999998</v>
      </c>
      <c r="H6" s="231">
        <f t="shared" si="1"/>
        <v>0.19950000000000001</v>
      </c>
      <c r="I6" s="231">
        <f t="shared" si="2"/>
        <v>2.4899999999999992E-2</v>
      </c>
      <c r="J6" s="231">
        <f t="shared" si="3"/>
        <v>-3.330000000000001E-2</v>
      </c>
      <c r="K6">
        <v>1.1900000000000001E-2</v>
      </c>
      <c r="L6" s="231">
        <v>7.1300000000000002E-2</v>
      </c>
      <c r="M6" s="231">
        <v>0.19520000000000001</v>
      </c>
    </row>
    <row r="7" spans="1:13" x14ac:dyDescent="0.25">
      <c r="A7" s="232" t="s">
        <v>9</v>
      </c>
      <c r="B7" t="s">
        <v>151</v>
      </c>
      <c r="C7" s="231">
        <v>0.17480000000000001</v>
      </c>
      <c r="D7" s="231">
        <v>8.0600000000000005E-2</v>
      </c>
      <c r="E7" s="231">
        <v>7.8899999999999998E-2</v>
      </c>
      <c r="F7" s="231">
        <v>2.52E-2</v>
      </c>
      <c r="G7" s="231">
        <f t="shared" si="0"/>
        <v>0.1041</v>
      </c>
      <c r="H7" s="231">
        <f t="shared" si="1"/>
        <v>0.1293</v>
      </c>
      <c r="I7" s="231">
        <f t="shared" si="2"/>
        <v>5.3699999999999998E-2</v>
      </c>
      <c r="J7" s="231">
        <f t="shared" si="3"/>
        <v>2.8499999999999998E-2</v>
      </c>
      <c r="K7">
        <v>4.6199999999999998E-2</v>
      </c>
      <c r="L7" s="231">
        <v>7.5399999999999995E-2</v>
      </c>
      <c r="M7" s="231">
        <v>0.123</v>
      </c>
    </row>
    <row r="8" spans="1:13" x14ac:dyDescent="0.25">
      <c r="A8" s="21" t="s">
        <v>10</v>
      </c>
      <c r="B8" t="s">
        <v>154</v>
      </c>
      <c r="C8" s="231">
        <v>0.2089</v>
      </c>
      <c r="D8" s="231">
        <v>0.13719999999999999</v>
      </c>
      <c r="E8" s="231">
        <v>0.12970000000000001</v>
      </c>
      <c r="F8">
        <v>7.4899999999999994E-2</v>
      </c>
      <c r="G8" s="231">
        <f t="shared" si="0"/>
        <v>0.2046</v>
      </c>
      <c r="H8" s="231">
        <f t="shared" si="1"/>
        <v>0.27949999999999997</v>
      </c>
      <c r="I8" s="231">
        <f t="shared" si="2"/>
        <v>5.4800000000000015E-2</v>
      </c>
      <c r="J8" s="231">
        <f t="shared" si="3"/>
        <v>-2.0099999999999979E-2</v>
      </c>
      <c r="K8" s="231">
        <v>1.2999999999999999E-2</v>
      </c>
      <c r="L8" s="231">
        <v>0.12970000000000001</v>
      </c>
      <c r="M8" s="231">
        <v>0.24629999999999999</v>
      </c>
    </row>
    <row r="9" spans="1:13" x14ac:dyDescent="0.25">
      <c r="A9" t="s">
        <v>119</v>
      </c>
      <c r="B9" t="s">
        <v>151</v>
      </c>
      <c r="C9" s="231">
        <v>0.2747</v>
      </c>
      <c r="D9" s="11">
        <v>230.41</v>
      </c>
      <c r="E9" s="11">
        <v>226.64</v>
      </c>
      <c r="F9">
        <v>136.51</v>
      </c>
      <c r="G9" s="11">
        <f t="shared" si="0"/>
        <v>363.15</v>
      </c>
      <c r="H9" s="11">
        <f t="shared" si="1"/>
        <v>499.65999999999997</v>
      </c>
      <c r="I9" s="11">
        <f t="shared" si="2"/>
        <v>90.13</v>
      </c>
      <c r="J9" s="11">
        <f t="shared" si="3"/>
        <v>-46.379999999999995</v>
      </c>
      <c r="K9" s="11">
        <v>88.06</v>
      </c>
      <c r="L9" s="11">
        <v>199.09</v>
      </c>
      <c r="M9" s="11">
        <v>450.1</v>
      </c>
    </row>
    <row r="10" spans="1:13" x14ac:dyDescent="0.25">
      <c r="A10" s="233"/>
      <c r="D10" s="231"/>
      <c r="E10" s="231"/>
      <c r="F10" s="231"/>
      <c r="G10" s="231"/>
      <c r="H10" s="231"/>
      <c r="I10" s="231"/>
      <c r="J10" s="231"/>
      <c r="K10" s="231"/>
      <c r="L10" s="231"/>
      <c r="M10" s="231"/>
    </row>
    <row r="11" spans="1:13" x14ac:dyDescent="0.25">
      <c r="A11" s="233"/>
      <c r="D11" s="11"/>
      <c r="E11" s="11"/>
      <c r="F11" s="11"/>
      <c r="G11" s="234"/>
      <c r="H11" s="234"/>
      <c r="I11" s="234"/>
      <c r="J11" s="234"/>
      <c r="K11" s="11"/>
      <c r="M11" s="11"/>
    </row>
    <row r="14" spans="1:13" x14ac:dyDescent="0.25">
      <c r="A14" t="s">
        <v>155</v>
      </c>
    </row>
    <row r="15" spans="1:13" x14ac:dyDescent="0.25">
      <c r="A15" t="s">
        <v>156</v>
      </c>
    </row>
    <row r="16" spans="1:13" x14ac:dyDescent="0.25">
      <c r="A16" t="s">
        <v>157</v>
      </c>
    </row>
    <row r="19" spans="1:13" x14ac:dyDescent="0.25">
      <c r="A19" t="s">
        <v>158</v>
      </c>
    </row>
    <row r="20" spans="1:13" x14ac:dyDescent="0.25">
      <c r="B20" t="s">
        <v>131</v>
      </c>
      <c r="C20" t="s">
        <v>159</v>
      </c>
      <c r="D20" t="s">
        <v>140</v>
      </c>
      <c r="E20" t="s">
        <v>141</v>
      </c>
      <c r="F20" t="s">
        <v>142</v>
      </c>
      <c r="G20" t="s">
        <v>143</v>
      </c>
      <c r="H20" t="s">
        <v>144</v>
      </c>
      <c r="I20" t="s">
        <v>145</v>
      </c>
      <c r="J20" t="s">
        <v>146</v>
      </c>
      <c r="K20" t="s">
        <v>147</v>
      </c>
      <c r="L20" t="s">
        <v>148</v>
      </c>
      <c r="M20" t="s">
        <v>149</v>
      </c>
    </row>
    <row r="21" spans="1:13" x14ac:dyDescent="0.25">
      <c r="A21" s="235" t="s">
        <v>160</v>
      </c>
      <c r="B21" t="s">
        <v>161</v>
      </c>
      <c r="C21" s="231">
        <v>22.617799999999999</v>
      </c>
      <c r="D21" s="11">
        <v>2.4</v>
      </c>
      <c r="E21" s="11">
        <v>2.4</v>
      </c>
      <c r="F21">
        <v>1.5489999999999999</v>
      </c>
      <c r="G21" s="11">
        <f t="shared" ref="G21:G25" si="4">E21+F21</f>
        <v>3.9489999999999998</v>
      </c>
      <c r="H21" s="11">
        <f t="shared" ref="H21:H25" si="5">E21+2*F21</f>
        <v>5.4979999999999993</v>
      </c>
      <c r="I21" s="11">
        <f t="shared" ref="I21:I25" si="6">E21-F21</f>
        <v>0.85099999999999998</v>
      </c>
      <c r="J21" s="11">
        <f t="shared" ref="J21:J25" si="7">E21-2*F21</f>
        <v>-0.69799999999999995</v>
      </c>
      <c r="K21">
        <v>0</v>
      </c>
      <c r="L21">
        <v>2</v>
      </c>
      <c r="M21">
        <v>5</v>
      </c>
    </row>
    <row r="22" spans="1:13" x14ac:dyDescent="0.25">
      <c r="A22" s="235" t="s">
        <v>162</v>
      </c>
      <c r="B22" t="s">
        <v>161</v>
      </c>
      <c r="C22" s="231">
        <v>18.115300000000001</v>
      </c>
      <c r="D22" s="11">
        <v>1.2</v>
      </c>
      <c r="E22" s="11">
        <v>1.2</v>
      </c>
      <c r="F22">
        <v>1.095</v>
      </c>
      <c r="G22" s="11">
        <f t="shared" si="4"/>
        <v>2.2949999999999999</v>
      </c>
      <c r="H22" s="11">
        <f t="shared" si="5"/>
        <v>3.3899999999999997</v>
      </c>
      <c r="I22" s="11">
        <f t="shared" si="6"/>
        <v>0.10499999999999998</v>
      </c>
      <c r="J22" s="11">
        <f t="shared" si="7"/>
        <v>-0.99</v>
      </c>
      <c r="K22">
        <v>0</v>
      </c>
      <c r="L22">
        <v>1</v>
      </c>
      <c r="M22">
        <v>3</v>
      </c>
    </row>
    <row r="23" spans="1:13" x14ac:dyDescent="0.25">
      <c r="A23" s="235" t="s">
        <v>16</v>
      </c>
      <c r="B23" t="s">
        <v>163</v>
      </c>
      <c r="C23" s="231">
        <v>35.411000000000001</v>
      </c>
      <c r="D23" s="11">
        <v>8.6</v>
      </c>
      <c r="E23" s="11">
        <v>8.6</v>
      </c>
      <c r="F23">
        <v>9.0860000000000003</v>
      </c>
      <c r="G23" s="11">
        <f t="shared" si="4"/>
        <v>17.686</v>
      </c>
      <c r="H23" s="11">
        <f t="shared" si="5"/>
        <v>26.771999999999998</v>
      </c>
      <c r="I23" s="11">
        <f t="shared" si="6"/>
        <v>-0.48600000000000065</v>
      </c>
      <c r="J23" s="11">
        <f t="shared" si="7"/>
        <v>-9.572000000000001</v>
      </c>
      <c r="K23">
        <v>0</v>
      </c>
      <c r="L23">
        <v>6</v>
      </c>
      <c r="M23">
        <v>27</v>
      </c>
    </row>
    <row r="24" spans="1:13" x14ac:dyDescent="0.25">
      <c r="A24" s="235" t="s">
        <v>17</v>
      </c>
      <c r="B24" t="s">
        <v>163</v>
      </c>
      <c r="C24" s="231">
        <v>11.709099999999999</v>
      </c>
      <c r="D24" s="11">
        <v>0.4</v>
      </c>
      <c r="E24" s="11">
        <v>0.4</v>
      </c>
      <c r="F24" s="252">
        <v>0.748</v>
      </c>
      <c r="G24" s="11">
        <f t="shared" si="4"/>
        <v>1.1480000000000001</v>
      </c>
      <c r="H24" s="11">
        <f t="shared" si="5"/>
        <v>1.8959999999999999</v>
      </c>
      <c r="I24" s="11">
        <f t="shared" si="6"/>
        <v>-0.34799999999999998</v>
      </c>
      <c r="J24" s="11">
        <f t="shared" si="7"/>
        <v>-1.0960000000000001</v>
      </c>
      <c r="K24">
        <v>0</v>
      </c>
      <c r="L24">
        <v>0</v>
      </c>
      <c r="M24">
        <v>2</v>
      </c>
    </row>
    <row r="25" spans="1:13" ht="26.25" x14ac:dyDescent="0.25">
      <c r="A25" s="236" t="s">
        <v>18</v>
      </c>
      <c r="B25" t="s">
        <v>161</v>
      </c>
      <c r="C25" s="231">
        <v>28.072500000000002</v>
      </c>
      <c r="D25" s="11">
        <v>7.6</v>
      </c>
      <c r="E25" s="11">
        <v>7.6</v>
      </c>
      <c r="F25">
        <v>2.7570000000000001</v>
      </c>
      <c r="G25" s="11">
        <f t="shared" si="4"/>
        <v>10.356999999999999</v>
      </c>
      <c r="H25" s="11">
        <f t="shared" si="5"/>
        <v>13.114000000000001</v>
      </c>
      <c r="I25" s="11">
        <f t="shared" si="6"/>
        <v>4.843</v>
      </c>
      <c r="J25" s="11">
        <f t="shared" si="7"/>
        <v>2.0859999999999994</v>
      </c>
      <c r="K25">
        <v>3</v>
      </c>
      <c r="L25">
        <v>7</v>
      </c>
      <c r="M25">
        <v>12</v>
      </c>
    </row>
    <row r="31" spans="1:13" x14ac:dyDescent="0.25">
      <c r="B31" t="s">
        <v>164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F7EE-EA65-4B4D-9BBD-3BAA209C2961}">
  <dimension ref="B1:U67"/>
  <sheetViews>
    <sheetView zoomScaleNormal="100" workbookViewId="0">
      <selection activeCell="D33" sqref="D33"/>
    </sheetView>
  </sheetViews>
  <sheetFormatPr defaultColWidth="8.140625" defaultRowHeight="12.75" x14ac:dyDescent="0.2"/>
  <cols>
    <col min="1" max="1" width="6.42578125" style="36" customWidth="1"/>
    <col min="2" max="2" width="3.140625" style="36" customWidth="1"/>
    <col min="3" max="3" width="26" style="59" customWidth="1"/>
    <col min="4" max="4" width="12.42578125" style="59" bestFit="1" customWidth="1"/>
    <col min="5" max="5" width="11.5703125" style="58" bestFit="1" customWidth="1"/>
    <col min="6" max="6" width="10.85546875" style="36" customWidth="1"/>
    <col min="7" max="7" width="8.85546875" style="36" customWidth="1"/>
    <col min="8" max="8" width="16" style="36" customWidth="1"/>
    <col min="9" max="9" width="21.42578125" style="36" customWidth="1"/>
    <col min="10" max="10" width="39.85546875" style="36" bestFit="1" customWidth="1"/>
    <col min="11" max="13" width="2.85546875" style="36" customWidth="1"/>
    <col min="14" max="14" width="24.140625" style="36" bestFit="1" customWidth="1"/>
    <col min="15" max="15" width="21.140625" style="36" customWidth="1"/>
    <col min="16" max="18" width="7.85546875" style="36" customWidth="1"/>
    <col min="19" max="19" width="25.42578125" style="36" bestFit="1" customWidth="1"/>
    <col min="20" max="20" width="25.42578125" style="36" customWidth="1"/>
    <col min="21" max="27" width="7.85546875" style="36" customWidth="1"/>
    <col min="28" max="16384" width="8.140625" style="36"/>
  </cols>
  <sheetData>
    <row r="1" spans="2:21" s="23" customFormat="1" ht="15" x14ac:dyDescent="0.25">
      <c r="E1" s="24"/>
      <c r="F1" s="25"/>
    </row>
    <row r="2" spans="2:21" s="23" customFormat="1" ht="23.25" x14ac:dyDescent="0.35">
      <c r="B2" s="26" t="s">
        <v>19</v>
      </c>
      <c r="E2" s="24"/>
      <c r="F2" s="25"/>
      <c r="G2" s="27"/>
    </row>
    <row r="3" spans="2:21" s="28" customFormat="1" ht="15" x14ac:dyDescent="0.25">
      <c r="C3" s="29"/>
      <c r="D3" s="29"/>
      <c r="E3" s="30"/>
      <c r="F3" s="30"/>
      <c r="G3" s="27"/>
    </row>
    <row r="4" spans="2:21" s="28" customFormat="1" ht="15" x14ac:dyDescent="0.25">
      <c r="B4" s="31" t="s">
        <v>20</v>
      </c>
      <c r="D4" s="31"/>
      <c r="E4" s="32"/>
      <c r="F4" s="27"/>
      <c r="G4" s="27"/>
    </row>
    <row r="5" spans="2:21" s="23" customFormat="1" ht="15" x14ac:dyDescent="0.25">
      <c r="B5" s="31"/>
      <c r="C5" s="33"/>
      <c r="D5" s="33"/>
      <c r="E5" s="34"/>
      <c r="F5" s="35"/>
      <c r="G5" s="35"/>
    </row>
    <row r="6" spans="2:21" x14ac:dyDescent="0.2">
      <c r="C6" s="37"/>
      <c r="D6" s="37"/>
      <c r="E6" s="37"/>
      <c r="F6" s="37"/>
      <c r="G6" s="37"/>
      <c r="J6" s="37"/>
    </row>
    <row r="7" spans="2:21" ht="25.5" x14ac:dyDescent="0.25">
      <c r="C7" s="38" t="s">
        <v>21</v>
      </c>
      <c r="D7" s="38"/>
      <c r="E7" s="39" t="s">
        <v>22</v>
      </c>
      <c r="F7" s="279" t="s">
        <v>23</v>
      </c>
      <c r="G7" s="279"/>
      <c r="H7" s="279"/>
      <c r="I7" s="38" t="s">
        <v>24</v>
      </c>
      <c r="J7" s="39" t="s">
        <v>25</v>
      </c>
      <c r="N7" s="280"/>
      <c r="O7" s="281"/>
    </row>
    <row r="8" spans="2:21" ht="25.5" x14ac:dyDescent="0.2">
      <c r="C8" s="38"/>
      <c r="D8" s="38"/>
      <c r="E8" s="38" t="s">
        <v>26</v>
      </c>
      <c r="F8" s="38" t="s">
        <v>27</v>
      </c>
      <c r="G8" s="38" t="s">
        <v>28</v>
      </c>
      <c r="H8" s="39" t="s">
        <v>29</v>
      </c>
      <c r="I8" s="258" t="s">
        <v>30</v>
      </c>
      <c r="J8" s="38" t="s">
        <v>31</v>
      </c>
    </row>
    <row r="9" spans="2:21" x14ac:dyDescent="0.2">
      <c r="C9" s="38" t="s">
        <v>32</v>
      </c>
      <c r="D9" s="38" t="s">
        <v>33</v>
      </c>
      <c r="E9" s="38" t="s">
        <v>34</v>
      </c>
      <c r="F9" s="38" t="s">
        <v>35</v>
      </c>
      <c r="G9" s="38" t="s">
        <v>36</v>
      </c>
      <c r="H9" s="38" t="s">
        <v>37</v>
      </c>
      <c r="I9" s="38" t="s">
        <v>38</v>
      </c>
      <c r="J9" s="38" t="s">
        <v>39</v>
      </c>
    </row>
    <row r="10" spans="2:21" x14ac:dyDescent="0.2">
      <c r="C10" s="40" t="s">
        <v>40</v>
      </c>
      <c r="D10" s="40">
        <v>2015</v>
      </c>
      <c r="E10" s="41"/>
      <c r="F10" s="45">
        <v>10004</v>
      </c>
      <c r="G10" s="45">
        <v>793</v>
      </c>
      <c r="H10" s="41">
        <f>F10+G10</f>
        <v>10797</v>
      </c>
      <c r="I10" s="42">
        <f>MIN(G10,$D$31)</f>
        <v>715</v>
      </c>
      <c r="J10" s="41">
        <f t="shared" ref="J10:J12" si="0">F10+I10</f>
        <v>10719</v>
      </c>
    </row>
    <row r="11" spans="2:21" x14ac:dyDescent="0.2">
      <c r="C11" s="40" t="s">
        <v>40</v>
      </c>
      <c r="D11" s="40">
        <v>2016</v>
      </c>
      <c r="E11" s="41"/>
      <c r="F11" s="45">
        <v>11098.5</v>
      </c>
      <c r="G11" s="45">
        <v>586</v>
      </c>
      <c r="H11" s="41">
        <f t="shared" ref="H11:H16" si="1">F11+G11</f>
        <v>11684.5</v>
      </c>
      <c r="I11" s="43">
        <f>MIN(G11,$D$31)</f>
        <v>586</v>
      </c>
      <c r="J11" s="41">
        <f t="shared" si="0"/>
        <v>11684.5</v>
      </c>
      <c r="K11" s="44"/>
    </row>
    <row r="12" spans="2:21" x14ac:dyDescent="0.2">
      <c r="C12" s="40" t="s">
        <v>40</v>
      </c>
      <c r="D12" s="40">
        <v>2017</v>
      </c>
      <c r="E12" s="41"/>
      <c r="F12" s="45">
        <v>2090</v>
      </c>
      <c r="G12" s="45">
        <v>238</v>
      </c>
      <c r="H12" s="41">
        <f t="shared" si="1"/>
        <v>2328</v>
      </c>
      <c r="I12" s="42">
        <f>MIN(G12,$D$31)</f>
        <v>238</v>
      </c>
      <c r="J12" s="41">
        <f t="shared" si="0"/>
        <v>2328</v>
      </c>
      <c r="U12" s="44"/>
    </row>
    <row r="13" spans="2:21" x14ac:dyDescent="0.2">
      <c r="C13" s="46" t="s">
        <v>41</v>
      </c>
      <c r="D13" s="46">
        <v>2018</v>
      </c>
      <c r="E13" s="47">
        <v>4208</v>
      </c>
      <c r="F13" s="48">
        <v>6953</v>
      </c>
      <c r="G13" s="48">
        <v>267</v>
      </c>
      <c r="H13" s="47">
        <f t="shared" si="1"/>
        <v>7220</v>
      </c>
      <c r="I13" s="47">
        <f>MIN(G13,$D$32)</f>
        <v>267</v>
      </c>
      <c r="J13" s="47">
        <f>F13+I13</f>
        <v>7220</v>
      </c>
    </row>
    <row r="14" spans="2:21" x14ac:dyDescent="0.2">
      <c r="C14" s="46" t="s">
        <v>41</v>
      </c>
      <c r="D14" s="46">
        <v>2019</v>
      </c>
      <c r="E14" s="47">
        <v>4208</v>
      </c>
      <c r="F14" s="48">
        <v>7676.5</v>
      </c>
      <c r="G14" s="48">
        <v>179</v>
      </c>
      <c r="H14" s="47">
        <f>G14+F14</f>
        <v>7855.5</v>
      </c>
      <c r="I14" s="48">
        <f>MIN(G14,$D$32)</f>
        <v>179</v>
      </c>
      <c r="J14" s="48">
        <f>F14+I14</f>
        <v>7855.5</v>
      </c>
      <c r="S14" s="282"/>
      <c r="T14" s="282"/>
    </row>
    <row r="15" spans="2:21" x14ac:dyDescent="0.2">
      <c r="C15" s="46" t="s">
        <v>41</v>
      </c>
      <c r="D15" s="46">
        <v>2020</v>
      </c>
      <c r="E15" s="47">
        <v>4208</v>
      </c>
      <c r="F15" s="48">
        <v>3162</v>
      </c>
      <c r="G15" s="48">
        <v>4063</v>
      </c>
      <c r="H15" s="47">
        <f t="shared" si="1"/>
        <v>7225</v>
      </c>
      <c r="I15" s="48">
        <f t="shared" ref="I15:I16" si="2">MIN(G15,$D$32)</f>
        <v>1522.5200000000002</v>
      </c>
      <c r="J15" s="47">
        <f t="shared" ref="J15:J16" si="3">F15+I15</f>
        <v>4684.5200000000004</v>
      </c>
      <c r="S15" s="49"/>
      <c r="T15" s="49"/>
    </row>
    <row r="16" spans="2:21" x14ac:dyDescent="0.2">
      <c r="C16" s="46" t="s">
        <v>41</v>
      </c>
      <c r="D16" s="46">
        <v>2021</v>
      </c>
      <c r="E16" s="47">
        <v>4208</v>
      </c>
      <c r="F16" s="48">
        <v>9007</v>
      </c>
      <c r="G16" s="48">
        <v>5511</v>
      </c>
      <c r="H16" s="47">
        <f t="shared" si="1"/>
        <v>14518</v>
      </c>
      <c r="I16" s="48">
        <f t="shared" si="2"/>
        <v>1522.5200000000002</v>
      </c>
      <c r="J16" s="47">
        <f t="shared" si="3"/>
        <v>10529.52</v>
      </c>
      <c r="U16" s="44"/>
    </row>
    <row r="17" spans="3:10" x14ac:dyDescent="0.2">
      <c r="C17" s="37"/>
      <c r="D17" s="37"/>
      <c r="E17" s="37"/>
      <c r="F17" s="37"/>
      <c r="G17" s="37"/>
      <c r="H17" s="37"/>
      <c r="I17" s="37"/>
      <c r="J17" s="37"/>
    </row>
    <row r="18" spans="3:10" x14ac:dyDescent="0.2">
      <c r="C18" s="50" t="s">
        <v>42</v>
      </c>
      <c r="D18" s="51"/>
      <c r="E18" s="51"/>
      <c r="F18" s="51"/>
      <c r="G18" s="51"/>
      <c r="H18" s="52">
        <f>MAX(H$10:H$16)</f>
        <v>14518</v>
      </c>
      <c r="I18" s="51"/>
      <c r="J18" s="52">
        <f>MAX($J$10:$J$16)</f>
        <v>11684.5</v>
      </c>
    </row>
    <row r="19" spans="3:10" x14ac:dyDescent="0.2">
      <c r="C19" s="50" t="s">
        <v>43</v>
      </c>
      <c r="D19" s="51"/>
      <c r="E19" s="51"/>
      <c r="F19" s="51"/>
      <c r="G19" s="51"/>
      <c r="H19" s="52">
        <f>MIN(H$10:H$16)</f>
        <v>2328</v>
      </c>
      <c r="I19" s="51"/>
      <c r="J19" s="52">
        <f>MIN(J$10:J$16)</f>
        <v>2328</v>
      </c>
    </row>
    <row r="20" spans="3:10" x14ac:dyDescent="0.2">
      <c r="C20" s="283" t="s">
        <v>44</v>
      </c>
      <c r="D20" s="51"/>
      <c r="E20" s="51"/>
      <c r="F20" s="51"/>
      <c r="G20" s="53"/>
      <c r="H20" s="52">
        <f>ROUND((SUM(H$10:H$16)-H18-H19)*0.2,0)</f>
        <v>8956</v>
      </c>
      <c r="I20" s="51"/>
      <c r="J20" s="52">
        <f>ROUND((SUM(J$10:J$16)-J18-J19)*0.2,0)</f>
        <v>8202</v>
      </c>
    </row>
    <row r="21" spans="3:10" x14ac:dyDescent="0.2">
      <c r="C21" s="283"/>
      <c r="D21" s="51"/>
      <c r="E21" s="51"/>
      <c r="F21" s="51"/>
      <c r="G21" s="51"/>
      <c r="H21" s="52" t="s">
        <v>45</v>
      </c>
      <c r="I21" s="52"/>
      <c r="J21" s="52" t="s">
        <v>46</v>
      </c>
    </row>
    <row r="22" spans="3:10" x14ac:dyDescent="0.2">
      <c r="C22" s="37"/>
      <c r="D22" s="37"/>
      <c r="E22" s="37"/>
      <c r="F22" s="37"/>
      <c r="G22" s="37"/>
      <c r="H22" s="40"/>
      <c r="I22" s="40"/>
      <c r="J22" s="40"/>
    </row>
    <row r="23" spans="3:10" x14ac:dyDescent="0.2">
      <c r="C23" s="56" t="s">
        <v>180</v>
      </c>
      <c r="D23" s="37"/>
      <c r="E23" s="37"/>
      <c r="F23" s="37"/>
      <c r="G23" s="37"/>
      <c r="H23" s="54"/>
      <c r="I23" s="37"/>
      <c r="J23" s="54"/>
    </row>
    <row r="24" spans="3:10" x14ac:dyDescent="0.2">
      <c r="C24" s="55" t="s">
        <v>47</v>
      </c>
      <c r="D24" s="260">
        <f>'AER-ENet Smoothed Revenue'!$D$4*10^6</f>
        <v>396195771.20509243</v>
      </c>
      <c r="E24" s="243"/>
      <c r="F24" s="37"/>
      <c r="G24" s="37"/>
      <c r="H24" s="54"/>
      <c r="I24" s="259"/>
      <c r="J24" s="54"/>
    </row>
    <row r="25" spans="3:10" x14ac:dyDescent="0.2">
      <c r="C25" s="55" t="s">
        <v>48</v>
      </c>
      <c r="D25" s="261">
        <f>0.01*D24/J20</f>
        <v>483.04775811398741</v>
      </c>
      <c r="E25" s="36"/>
      <c r="F25" s="37"/>
      <c r="G25" s="37"/>
      <c r="H25" s="54"/>
      <c r="I25" s="37"/>
      <c r="J25" s="54"/>
    </row>
    <row r="26" spans="3:10" x14ac:dyDescent="0.2">
      <c r="C26" s="37"/>
      <c r="D26" s="37"/>
      <c r="E26" s="36"/>
      <c r="F26" s="37"/>
      <c r="G26" s="37"/>
      <c r="H26" s="54"/>
      <c r="I26" s="37"/>
      <c r="J26" s="54"/>
    </row>
    <row r="27" spans="3:10" x14ac:dyDescent="0.2">
      <c r="C27" s="56" t="s">
        <v>180</v>
      </c>
      <c r="D27" s="37"/>
      <c r="E27" s="36"/>
      <c r="F27" s="37"/>
      <c r="G27" s="37"/>
      <c r="H27" s="37"/>
      <c r="I27" s="37"/>
      <c r="J27" s="37"/>
    </row>
    <row r="28" spans="3:10" x14ac:dyDescent="0.2">
      <c r="C28" s="55" t="s">
        <v>49</v>
      </c>
      <c r="D28" s="259">
        <f>J20</f>
        <v>8202</v>
      </c>
      <c r="E28" s="36"/>
      <c r="F28" s="37"/>
      <c r="G28" s="37"/>
      <c r="H28" s="37"/>
      <c r="I28" s="37"/>
      <c r="J28" s="37"/>
    </row>
    <row r="29" spans="3:10" x14ac:dyDescent="0.2">
      <c r="C29" s="37"/>
      <c r="D29" s="37"/>
      <c r="E29" s="36"/>
      <c r="F29" s="37"/>
      <c r="G29" s="37"/>
      <c r="H29" s="37"/>
    </row>
    <row r="30" spans="3:10" x14ac:dyDescent="0.2">
      <c r="C30" s="56" t="s">
        <v>50</v>
      </c>
      <c r="D30" s="37"/>
      <c r="E30" s="36"/>
      <c r="F30" s="37"/>
      <c r="G30" s="37"/>
      <c r="H30" s="37"/>
    </row>
    <row r="31" spans="3:10" x14ac:dyDescent="0.2">
      <c r="C31" s="55" t="s">
        <v>181</v>
      </c>
      <c r="D31" s="263">
        <f>715</f>
        <v>715</v>
      </c>
      <c r="E31" s="57"/>
      <c r="F31" s="37"/>
      <c r="G31" s="37"/>
      <c r="H31" s="37"/>
    </row>
    <row r="32" spans="3:10" x14ac:dyDescent="0.2">
      <c r="C32" s="262" t="s">
        <v>182</v>
      </c>
      <c r="D32" s="264">
        <f>H20*0.17</f>
        <v>1522.5200000000002</v>
      </c>
      <c r="E32" s="265" t="s">
        <v>184</v>
      </c>
      <c r="F32" s="266"/>
      <c r="G32" s="37"/>
      <c r="H32" s="37"/>
    </row>
    <row r="33" spans="3:10" x14ac:dyDescent="0.2">
      <c r="C33" s="262" t="s">
        <v>183</v>
      </c>
      <c r="D33" s="267">
        <f>ROUNDUP(0.17*J20,0)</f>
        <v>1395</v>
      </c>
      <c r="E33" s="265" t="s">
        <v>185</v>
      </c>
      <c r="F33" s="266"/>
      <c r="G33" s="37"/>
      <c r="H33" s="37"/>
    </row>
    <row r="34" spans="3:10" x14ac:dyDescent="0.2">
      <c r="C34" s="37"/>
      <c r="D34" s="37"/>
      <c r="E34" s="36"/>
      <c r="F34" s="37"/>
      <c r="G34" s="37"/>
      <c r="H34" s="37"/>
      <c r="I34" s="37"/>
      <c r="J34" s="37"/>
    </row>
    <row r="35" spans="3:10" x14ac:dyDescent="0.2">
      <c r="C35" s="36"/>
      <c r="D35" s="36"/>
      <c r="E35" s="36"/>
    </row>
    <row r="36" spans="3:10" x14ac:dyDescent="0.2">
      <c r="C36" s="36"/>
      <c r="D36" s="36"/>
      <c r="E36" s="36"/>
    </row>
    <row r="37" spans="3:10" x14ac:dyDescent="0.2">
      <c r="C37" s="36"/>
      <c r="D37" s="36"/>
      <c r="E37" s="36"/>
    </row>
    <row r="38" spans="3:10" x14ac:dyDescent="0.2">
      <c r="C38" s="36"/>
      <c r="D38" s="36"/>
      <c r="E38" s="36"/>
    </row>
    <row r="39" spans="3:10" x14ac:dyDescent="0.2">
      <c r="C39" s="36"/>
      <c r="D39" s="36"/>
      <c r="E39" s="36"/>
    </row>
    <row r="40" spans="3:10" x14ac:dyDescent="0.2">
      <c r="C40" s="36"/>
      <c r="D40" s="36"/>
      <c r="E40" s="36"/>
    </row>
    <row r="41" spans="3:10" x14ac:dyDescent="0.2">
      <c r="C41" s="36"/>
      <c r="D41" s="36"/>
      <c r="E41" s="36"/>
    </row>
    <row r="42" spans="3:10" x14ac:dyDescent="0.2">
      <c r="C42" s="36"/>
      <c r="D42" s="36"/>
      <c r="E42" s="36"/>
    </row>
    <row r="43" spans="3:10" x14ac:dyDescent="0.2">
      <c r="C43" s="36"/>
      <c r="D43" s="36"/>
      <c r="E43" s="36"/>
    </row>
    <row r="44" spans="3:10" x14ac:dyDescent="0.2">
      <c r="C44" s="36"/>
      <c r="D44" s="36"/>
      <c r="E44" s="36"/>
    </row>
    <row r="45" spans="3:10" x14ac:dyDescent="0.2">
      <c r="C45" s="36"/>
      <c r="D45" s="36"/>
      <c r="E45" s="36"/>
    </row>
    <row r="46" spans="3:10" x14ac:dyDescent="0.2">
      <c r="C46" s="36"/>
      <c r="D46" s="36"/>
      <c r="E46" s="36"/>
    </row>
    <row r="47" spans="3:10" x14ac:dyDescent="0.2">
      <c r="C47" s="36"/>
      <c r="D47" s="36"/>
      <c r="E47" s="36"/>
    </row>
    <row r="48" spans="3:10" x14ac:dyDescent="0.2">
      <c r="C48" s="36"/>
      <c r="D48" s="36"/>
      <c r="E48" s="36"/>
    </row>
    <row r="49" s="36" customFormat="1" x14ac:dyDescent="0.2"/>
    <row r="50" s="36" customFormat="1" x14ac:dyDescent="0.2"/>
    <row r="51" s="36" customFormat="1" x14ac:dyDescent="0.2"/>
    <row r="52" s="36" customFormat="1" x14ac:dyDescent="0.2"/>
    <row r="53" s="36" customFormat="1" x14ac:dyDescent="0.2"/>
    <row r="54" s="36" customFormat="1" x14ac:dyDescent="0.2"/>
    <row r="55" s="36" customFormat="1" x14ac:dyDescent="0.2"/>
    <row r="56" s="36" customFormat="1" x14ac:dyDescent="0.2"/>
    <row r="57" s="36" customFormat="1" x14ac:dyDescent="0.2"/>
    <row r="58" s="36" customFormat="1" x14ac:dyDescent="0.2"/>
    <row r="59" s="36" customFormat="1" x14ac:dyDescent="0.2"/>
    <row r="60" s="36" customFormat="1" x14ac:dyDescent="0.2"/>
    <row r="61" s="36" customFormat="1" x14ac:dyDescent="0.2"/>
    <row r="62" s="36" customFormat="1" x14ac:dyDescent="0.2"/>
    <row r="63" s="36" customFormat="1" x14ac:dyDescent="0.2"/>
    <row r="64" s="36" customFormat="1" x14ac:dyDescent="0.2"/>
    <row r="65" s="36" customFormat="1" x14ac:dyDescent="0.2"/>
    <row r="66" s="36" customFormat="1" x14ac:dyDescent="0.2"/>
    <row r="67" s="36" customFormat="1" x14ac:dyDescent="0.2"/>
  </sheetData>
  <mergeCells count="4">
    <mergeCell ref="F7:H7"/>
    <mergeCell ref="N7:O7"/>
    <mergeCell ref="S14:T14"/>
    <mergeCell ref="C20:C21"/>
  </mergeCells>
  <pageMargins left="0.7" right="0.7" top="0.75" bottom="0.75" header="0.3" footer="0.3"/>
  <pageSetup orientation="portrait" r:id="rId1"/>
  <ignoredErrors>
    <ignoredError sqref="H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184D-59D4-45B6-A41C-6A3FB75CCE8C}">
  <dimension ref="B2:I5"/>
  <sheetViews>
    <sheetView zoomScale="130" zoomScaleNormal="130" workbookViewId="0">
      <selection activeCell="O9" sqref="O9"/>
    </sheetView>
  </sheetViews>
  <sheetFormatPr defaultRowHeight="15" x14ac:dyDescent="0.25"/>
  <cols>
    <col min="2" max="2" width="31.42578125" customWidth="1"/>
    <col min="3" max="3" width="9" customWidth="1"/>
    <col min="4" max="8" width="9.7109375" bestFit="1" customWidth="1"/>
    <col min="9" max="9" width="9.140625" bestFit="1" customWidth="1"/>
  </cols>
  <sheetData>
    <row r="2" spans="2:9" x14ac:dyDescent="0.25">
      <c r="B2" s="244" t="s">
        <v>171</v>
      </c>
    </row>
    <row r="3" spans="2:9" x14ac:dyDescent="0.25">
      <c r="B3" s="245" t="s">
        <v>74</v>
      </c>
      <c r="C3" s="246"/>
      <c r="D3" s="245" t="s">
        <v>172</v>
      </c>
      <c r="E3" s="245" t="s">
        <v>173</v>
      </c>
      <c r="F3" s="245" t="s">
        <v>174</v>
      </c>
      <c r="G3" s="245" t="s">
        <v>175</v>
      </c>
      <c r="H3" s="245" t="s">
        <v>176</v>
      </c>
      <c r="I3" s="245" t="s">
        <v>130</v>
      </c>
    </row>
    <row r="4" spans="2:9" x14ac:dyDescent="0.25">
      <c r="B4" s="244" t="s">
        <v>177</v>
      </c>
      <c r="C4" s="247"/>
      <c r="D4" s="248">
        <v>396.19577120509246</v>
      </c>
      <c r="E4" s="248">
        <v>435.25004553650473</v>
      </c>
      <c r="F4" s="248">
        <v>447.95632122892289</v>
      </c>
      <c r="G4" s="248">
        <v>461.03353184398469</v>
      </c>
      <c r="H4" s="248">
        <v>474.49250610288021</v>
      </c>
      <c r="I4" s="249">
        <f>SUM(D4:H4)</f>
        <v>2214.928175917385</v>
      </c>
    </row>
    <row r="5" spans="2:9" x14ac:dyDescent="0.25">
      <c r="B5" s="244" t="s">
        <v>178</v>
      </c>
      <c r="C5" s="247"/>
      <c r="D5" s="248">
        <v>384.95768289484965</v>
      </c>
      <c r="E5" s="248">
        <v>410.90851110508254</v>
      </c>
      <c r="F5" s="248">
        <v>410.9085111050826</v>
      </c>
      <c r="G5" s="248">
        <v>410.90851110508254</v>
      </c>
      <c r="H5" s="248">
        <v>410.9085111050826</v>
      </c>
      <c r="I5" s="249">
        <f>SUM(D5:H5)</f>
        <v>2028.5917273151799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7209-D83A-4435-A81B-4DAD355C9C64}">
  <dimension ref="B1:S197"/>
  <sheetViews>
    <sheetView zoomScale="80" zoomScaleNormal="80" workbookViewId="0">
      <selection activeCell="J140" sqref="J140"/>
    </sheetView>
  </sheetViews>
  <sheetFormatPr defaultColWidth="9.140625" defaultRowHeight="15" outlineLevelRow="2" x14ac:dyDescent="0.25"/>
  <cols>
    <col min="1" max="1" width="25.42578125" style="62" customWidth="1"/>
    <col min="2" max="2" width="55.42578125" style="62" customWidth="1"/>
    <col min="3" max="3" width="19.42578125" style="62" customWidth="1"/>
    <col min="4" max="4" width="22" style="62" customWidth="1"/>
    <col min="5" max="5" width="25.42578125" style="62" customWidth="1"/>
    <col min="6" max="6" width="20.7109375" style="62" customWidth="1"/>
    <col min="7" max="7" width="20.85546875" style="62" customWidth="1"/>
    <col min="8" max="8" width="28.42578125" style="62" customWidth="1"/>
    <col min="9" max="9" width="22" style="62" customWidth="1"/>
    <col min="10" max="10" width="24.85546875" style="62" customWidth="1"/>
    <col min="11" max="11" width="3.28515625" style="62" customWidth="1"/>
    <col min="12" max="12" width="12.85546875" style="62" customWidth="1"/>
    <col min="13" max="13" width="10.85546875" style="62" customWidth="1"/>
    <col min="14" max="16384" width="9.140625" style="62"/>
  </cols>
  <sheetData>
    <row r="1" spans="2:16" ht="30.2" customHeight="1" x14ac:dyDescent="0.25">
      <c r="B1" s="60" t="str">
        <f>(LOOKUP(dms_Model,dms_Model_List,dms_Worksheet_List))</f>
        <v>REGULATORY REPORTING STATEMENT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2:16" ht="30.2" customHeight="1" x14ac:dyDescent="0.25">
      <c r="B2" s="63" t="str">
        <f>INDEX(dms_TradingNameFull_List,MATCH(dms_TradingName,dms_TradingName_List))</f>
        <v>ElectraNet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6" ht="30.2" customHeight="1" x14ac:dyDescent="0.25">
      <c r="B3" s="63" t="str">
        <f>IF(SUM(dms_SingleYear_Model)&gt;0,CRY,CONCATENATE(FRCP_y1," to ",dms_MultiYear_FinalYear_Result))</f>
        <v>2023-24 to 2027-28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2:16" ht="30.2" customHeight="1" x14ac:dyDescent="0.25">
      <c r="B4" s="64" t="s">
        <v>51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6" spans="2:16" ht="54" customHeight="1" x14ac:dyDescent="0.25">
      <c r="B6" s="304" t="s">
        <v>52</v>
      </c>
      <c r="C6" s="305"/>
    </row>
    <row r="7" spans="2:16" ht="15.75" thickBot="1" x14ac:dyDescent="0.3"/>
    <row r="8" spans="2:16" s="66" customFormat="1" ht="24" customHeight="1" thickBot="1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6" ht="27.95" customHeight="1" outlineLevel="1" x14ac:dyDescent="0.25">
      <c r="B9" s="272" t="s">
        <v>1</v>
      </c>
      <c r="C9" s="274" t="s">
        <v>2</v>
      </c>
      <c r="D9" s="275"/>
      <c r="E9" s="275"/>
      <c r="F9" s="275"/>
      <c r="G9" s="275"/>
      <c r="H9" s="276"/>
      <c r="I9" s="277" t="s">
        <v>3</v>
      </c>
      <c r="J9" s="306" t="s">
        <v>53</v>
      </c>
      <c r="K9" s="277" t="s">
        <v>54</v>
      </c>
      <c r="L9" s="277" t="s">
        <v>55</v>
      </c>
      <c r="M9" s="293" t="s">
        <v>56</v>
      </c>
    </row>
    <row r="10" spans="2:16" ht="30.2" customHeight="1" outlineLevel="1" thickBot="1" x14ac:dyDescent="0.3">
      <c r="B10" s="273"/>
      <c r="C10" s="3" t="str">
        <f>(LEFT(PRCP_y3,2)&amp;RIGHT(PRCP_y3,2))</f>
        <v>2016</v>
      </c>
      <c r="D10" s="4" t="str">
        <f>LEFT(PRCP_y4,2)&amp;RIGHT(PRCP_y4,2)</f>
        <v>2017</v>
      </c>
      <c r="E10" s="4" t="str">
        <f>LEFT(PRCP_y5,2)&amp;RIGHT(PRCP_y5,2)</f>
        <v>2018</v>
      </c>
      <c r="F10" s="4" t="str">
        <f>(LEFT(CRCP_y1,2)&amp;RIGHT(CRCP_y1,2))</f>
        <v>2019</v>
      </c>
      <c r="G10" s="4" t="str">
        <f>(LEFT(CRCP_y2,2)&amp;RIGHT(CRCP_y2,2))</f>
        <v>2020</v>
      </c>
      <c r="H10" s="4" t="str">
        <f>(LEFT(CRCP_y3,2)&amp;RIGHT(CRCP_y3,2))</f>
        <v>2021</v>
      </c>
      <c r="I10" s="278"/>
      <c r="J10" s="307"/>
      <c r="K10" s="278"/>
      <c r="L10" s="278"/>
      <c r="M10" s="294"/>
    </row>
    <row r="11" spans="2:16" ht="20.100000000000001" customHeight="1" outlineLevel="1" x14ac:dyDescent="0.25">
      <c r="B11" s="5" t="s">
        <v>4</v>
      </c>
      <c r="C11" s="6"/>
      <c r="D11" s="6"/>
      <c r="E11" s="6"/>
      <c r="F11" s="6"/>
      <c r="G11" s="6"/>
      <c r="H11" s="6"/>
      <c r="I11" s="6"/>
      <c r="J11" s="67"/>
      <c r="K11" s="68"/>
      <c r="L11" s="68"/>
      <c r="M11" s="69"/>
    </row>
    <row r="12" spans="2:16" ht="20.100000000000001" customHeight="1" outlineLevel="2" x14ac:dyDescent="0.25">
      <c r="B12" s="7" t="s">
        <v>5</v>
      </c>
      <c r="C12" s="70">
        <v>0.32085561497326204</v>
      </c>
      <c r="D12" s="70">
        <v>7.3394495412844041E-2</v>
      </c>
      <c r="E12" s="70">
        <v>0.15178571428571427</v>
      </c>
      <c r="F12" s="70">
        <v>0.10526315789473684</v>
      </c>
      <c r="G12" s="70">
        <v>0.15939999999999999</v>
      </c>
      <c r="H12" s="70"/>
      <c r="I12" s="10">
        <f>+AVERAGE(C12:H12)</f>
        <v>0.16213979651331142</v>
      </c>
      <c r="J12" s="14"/>
      <c r="K12" s="14"/>
      <c r="L12" s="14"/>
      <c r="M12" s="71">
        <v>2E-3</v>
      </c>
      <c r="P12" s="72"/>
    </row>
    <row r="13" spans="2:16" ht="20.100000000000001" customHeight="1" outlineLevel="2" x14ac:dyDescent="0.25">
      <c r="B13" s="7" t="s">
        <v>6</v>
      </c>
      <c r="C13" s="70">
        <v>0.35294117647058826</v>
      </c>
      <c r="D13" s="70">
        <v>0.13432835820895522</v>
      </c>
      <c r="E13" s="70">
        <v>0.26865671641791045</v>
      </c>
      <c r="F13" s="70">
        <v>0.2388059701492537</v>
      </c>
      <c r="G13" s="70">
        <v>0.1343</v>
      </c>
      <c r="H13" s="70"/>
      <c r="I13" s="10">
        <f t="shared" ref="I13:I25" si="0">+AVERAGE(C13:H13)</f>
        <v>0.22580644424934154</v>
      </c>
      <c r="J13" s="14"/>
      <c r="K13" s="14"/>
      <c r="L13" s="14"/>
      <c r="M13" s="71">
        <v>2E-3</v>
      </c>
    </row>
    <row r="14" spans="2:16" ht="20.100000000000001" customHeight="1" outlineLevel="2" x14ac:dyDescent="0.25">
      <c r="B14" s="7" t="s">
        <v>7</v>
      </c>
      <c r="C14" s="70">
        <v>0.5135135135135136</v>
      </c>
      <c r="D14" s="70">
        <v>0.1891891891891892</v>
      </c>
      <c r="E14" s="70">
        <v>0.15789473684210525</v>
      </c>
      <c r="F14" s="70">
        <v>0.31578947368421051</v>
      </c>
      <c r="G14" s="70">
        <v>0.1053</v>
      </c>
      <c r="H14" s="70"/>
      <c r="I14" s="10">
        <f t="shared" si="0"/>
        <v>0.25633738264580369</v>
      </c>
      <c r="J14" s="14"/>
      <c r="K14" s="14"/>
      <c r="L14" s="14"/>
      <c r="M14" s="71">
        <v>1E-3</v>
      </c>
    </row>
    <row r="15" spans="2:16" ht="20.100000000000001" customHeight="1" outlineLevel="2" x14ac:dyDescent="0.25">
      <c r="B15" s="7" t="s">
        <v>8</v>
      </c>
      <c r="C15" s="70">
        <v>8.0213903743315509E-2</v>
      </c>
      <c r="D15" s="70">
        <v>8.2568807339449546E-2</v>
      </c>
      <c r="E15" s="70">
        <v>8.9285714285714274E-2</v>
      </c>
      <c r="F15" s="70">
        <v>0.17543859649122806</v>
      </c>
      <c r="G15" s="70">
        <v>8.8999999999999999E-3</v>
      </c>
      <c r="H15" s="70"/>
      <c r="I15" s="10">
        <f t="shared" si="0"/>
        <v>8.7281404371941471E-2</v>
      </c>
      <c r="J15" s="14"/>
      <c r="K15" s="14"/>
      <c r="L15" s="14"/>
      <c r="M15" s="71">
        <v>1E-3</v>
      </c>
    </row>
    <row r="16" spans="2:16" ht="20.100000000000001" customHeight="1" outlineLevel="2" x14ac:dyDescent="0.25">
      <c r="B16" s="7" t="s">
        <v>9</v>
      </c>
      <c r="C16" s="70">
        <v>3.6764705882352942E-2</v>
      </c>
      <c r="D16" s="70">
        <v>6.7164179104477612E-2</v>
      </c>
      <c r="E16" s="70">
        <v>8.2089552238805957E-2</v>
      </c>
      <c r="F16" s="70">
        <v>7.4626865671641784E-2</v>
      </c>
      <c r="G16" s="70">
        <v>5.2200000000000003E-2</v>
      </c>
      <c r="H16" s="70"/>
      <c r="I16" s="10">
        <f t="shared" si="0"/>
        <v>6.256906057945566E-2</v>
      </c>
      <c r="J16" s="14"/>
      <c r="K16" s="14"/>
      <c r="L16" s="14"/>
      <c r="M16" s="71">
        <v>1E-3</v>
      </c>
    </row>
    <row r="17" spans="2:13" ht="20.100000000000001" customHeight="1" outlineLevel="2" thickBot="1" x14ac:dyDescent="0.3">
      <c r="B17" s="12" t="s">
        <v>10</v>
      </c>
      <c r="C17" s="73">
        <v>0.1891891891891892</v>
      </c>
      <c r="D17" s="73">
        <v>0.1891891891891892</v>
      </c>
      <c r="E17" s="73">
        <v>7.8947368421052627E-2</v>
      </c>
      <c r="F17" s="73">
        <v>5.2631578947368418E-2</v>
      </c>
      <c r="G17" s="73">
        <v>0.15790000000000001</v>
      </c>
      <c r="H17" s="73"/>
      <c r="I17" s="10">
        <f t="shared" si="0"/>
        <v>0.13357146514935991</v>
      </c>
      <c r="J17" s="20"/>
      <c r="K17" s="20"/>
      <c r="L17" s="20"/>
      <c r="M17" s="74">
        <v>5.0000000000000001E-4</v>
      </c>
    </row>
    <row r="18" spans="2:13" ht="20.100000000000001" customHeight="1" outlineLevel="1" x14ac:dyDescent="0.25">
      <c r="B18" s="5" t="s">
        <v>11</v>
      </c>
      <c r="C18" s="6"/>
      <c r="D18" s="6"/>
      <c r="E18" s="6"/>
      <c r="F18" s="6"/>
      <c r="G18" s="6"/>
      <c r="H18" s="6"/>
      <c r="I18" s="6"/>
      <c r="J18" s="67"/>
      <c r="K18" s="68"/>
      <c r="L18" s="68"/>
      <c r="M18" s="69"/>
    </row>
    <row r="19" spans="2:13" ht="20.100000000000001" customHeight="1" outlineLevel="2" x14ac:dyDescent="0.25">
      <c r="B19" s="7" t="s">
        <v>12</v>
      </c>
      <c r="C19" s="14">
        <v>5</v>
      </c>
      <c r="D19" s="14">
        <v>4</v>
      </c>
      <c r="E19" s="14">
        <v>3</v>
      </c>
      <c r="F19" s="14">
        <v>4</v>
      </c>
      <c r="G19" s="14">
        <v>1</v>
      </c>
      <c r="H19" s="14"/>
      <c r="I19" s="10">
        <f t="shared" si="0"/>
        <v>3.4</v>
      </c>
      <c r="J19" s="14"/>
      <c r="K19" s="14"/>
      <c r="L19" s="14"/>
      <c r="M19" s="71">
        <v>1.5E-3</v>
      </c>
    </row>
    <row r="20" spans="2:13" ht="20.100000000000001" customHeight="1" outlineLevel="2" thickBot="1" x14ac:dyDescent="0.3">
      <c r="B20" s="15" t="s">
        <v>13</v>
      </c>
      <c r="C20" s="16">
        <v>2</v>
      </c>
      <c r="D20" s="16">
        <v>1</v>
      </c>
      <c r="E20" s="16">
        <v>2</v>
      </c>
      <c r="F20" s="16">
        <v>3</v>
      </c>
      <c r="G20" s="16">
        <v>0</v>
      </c>
      <c r="H20" s="16"/>
      <c r="I20" s="10">
        <f t="shared" si="0"/>
        <v>1.6</v>
      </c>
      <c r="J20" s="16"/>
      <c r="K20" s="16"/>
      <c r="L20" s="16"/>
      <c r="M20" s="75">
        <v>1.5E-3</v>
      </c>
    </row>
    <row r="21" spans="2:13" ht="20.100000000000001" customHeight="1" outlineLevel="1" thickBot="1" x14ac:dyDescent="0.3">
      <c r="B21" s="17" t="s">
        <v>14</v>
      </c>
      <c r="C21" s="18">
        <v>250.57142857142784</v>
      </c>
      <c r="D21" s="18">
        <v>97.4</v>
      </c>
      <c r="E21" s="18">
        <v>463</v>
      </c>
      <c r="F21" s="18">
        <v>192</v>
      </c>
      <c r="G21" s="18">
        <v>205</v>
      </c>
      <c r="H21" s="18"/>
      <c r="I21" s="10">
        <f t="shared" si="0"/>
        <v>241.59428571428558</v>
      </c>
      <c r="J21" s="18"/>
      <c r="K21" s="18"/>
      <c r="L21" s="18"/>
      <c r="M21" s="76">
        <v>2E-3</v>
      </c>
    </row>
    <row r="22" spans="2:13" ht="20.100000000000001" customHeight="1" outlineLevel="1" x14ac:dyDescent="0.25">
      <c r="B22" s="5" t="s">
        <v>15</v>
      </c>
      <c r="C22" s="6"/>
      <c r="D22" s="6"/>
      <c r="E22" s="6"/>
      <c r="F22" s="6"/>
      <c r="G22" s="6"/>
      <c r="H22" s="6"/>
      <c r="I22" s="6"/>
      <c r="J22" s="67"/>
      <c r="K22" s="68"/>
      <c r="L22" s="68"/>
      <c r="M22" s="69"/>
    </row>
    <row r="23" spans="2:13" ht="20.100000000000001" customHeight="1" outlineLevel="2" x14ac:dyDescent="0.25">
      <c r="B23" s="7" t="s">
        <v>16</v>
      </c>
      <c r="C23" s="14">
        <v>17</v>
      </c>
      <c r="D23" s="14">
        <v>9</v>
      </c>
      <c r="E23" s="14">
        <v>18</v>
      </c>
      <c r="F23" s="14">
        <v>6</v>
      </c>
      <c r="G23" s="14">
        <v>3</v>
      </c>
      <c r="H23" s="14"/>
      <c r="I23" s="10">
        <f t="shared" si="0"/>
        <v>10.6</v>
      </c>
      <c r="J23" s="14"/>
      <c r="K23" s="14"/>
      <c r="L23" s="14"/>
      <c r="M23" s="71">
        <v>0</v>
      </c>
    </row>
    <row r="24" spans="2:13" ht="20.100000000000001" customHeight="1" outlineLevel="2" x14ac:dyDescent="0.25">
      <c r="B24" s="7" t="s">
        <v>17</v>
      </c>
      <c r="C24" s="14">
        <v>2</v>
      </c>
      <c r="D24" s="14">
        <v>0</v>
      </c>
      <c r="E24" s="14">
        <v>2</v>
      </c>
      <c r="F24" s="14">
        <v>0</v>
      </c>
      <c r="G24" s="14">
        <v>0</v>
      </c>
      <c r="H24" s="14"/>
      <c r="I24" s="10">
        <f t="shared" si="0"/>
        <v>0.8</v>
      </c>
      <c r="J24" s="14"/>
      <c r="K24" s="14"/>
      <c r="L24" s="14"/>
      <c r="M24" s="71">
        <v>0</v>
      </c>
    </row>
    <row r="25" spans="2:13" ht="20.100000000000001" customHeight="1" outlineLevel="2" thickBot="1" x14ac:dyDescent="0.3">
      <c r="B25" s="19" t="s">
        <v>18</v>
      </c>
      <c r="C25" s="20">
        <v>10</v>
      </c>
      <c r="D25" s="20">
        <v>7</v>
      </c>
      <c r="E25" s="20">
        <v>13</v>
      </c>
      <c r="F25" s="20">
        <v>6</v>
      </c>
      <c r="G25" s="20">
        <v>4</v>
      </c>
      <c r="H25" s="20"/>
      <c r="I25" s="10">
        <f t="shared" si="0"/>
        <v>8</v>
      </c>
      <c r="J25" s="20"/>
      <c r="K25" s="20"/>
      <c r="L25" s="20"/>
      <c r="M25" s="74">
        <v>0</v>
      </c>
    </row>
    <row r="26" spans="2:13" outlineLevel="1" x14ac:dyDescent="0.25">
      <c r="B26" s="21"/>
      <c r="C26" s="21"/>
      <c r="D26" s="22"/>
      <c r="E26" s="22"/>
      <c r="F26" s="22"/>
      <c r="G26" s="22"/>
      <c r="H26" s="22"/>
      <c r="I26" s="22"/>
      <c r="J26" s="22"/>
      <c r="K26" s="22"/>
      <c r="L26" s="22"/>
    </row>
    <row r="27" spans="2:13" ht="15" customHeight="1" x14ac:dyDescent="0.25">
      <c r="B27" s="77"/>
      <c r="C27" s="77"/>
      <c r="D27" s="77"/>
      <c r="E27" s="77"/>
      <c r="F27" s="78"/>
      <c r="G27" s="78"/>
      <c r="H27" s="78"/>
      <c r="I27" s="78"/>
      <c r="J27" s="78"/>
      <c r="K27" s="78"/>
      <c r="L27" s="78"/>
    </row>
    <row r="28" spans="2:13" ht="15" customHeight="1" thickBot="1" x14ac:dyDescent="0.3">
      <c r="B28" s="77"/>
      <c r="C28" s="77"/>
      <c r="D28" s="77"/>
      <c r="E28" s="77"/>
      <c r="F28" s="78"/>
      <c r="G28" s="78"/>
      <c r="H28" s="78"/>
      <c r="I28" s="78"/>
      <c r="J28" s="78"/>
      <c r="K28" s="78"/>
      <c r="L28" s="78"/>
    </row>
    <row r="29" spans="2:13" ht="24.75" customHeight="1" thickBot="1" x14ac:dyDescent="0.3">
      <c r="B29" s="1" t="s">
        <v>57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3" ht="37.5" hidden="1" customHeight="1" outlineLevel="2" x14ac:dyDescent="0.25">
      <c r="B30" s="295" t="s">
        <v>58</v>
      </c>
      <c r="C30" s="297" t="s">
        <v>59</v>
      </c>
      <c r="D30" s="297" t="s">
        <v>60</v>
      </c>
      <c r="E30" s="299" t="str">
        <f>CONCATENATE(("If applicable, the present value of quantified benefits associated with the project
 ($0's, "),CRCP_y5,")")</f>
        <v>If applicable, the present value of quantified benefits associated with the project
 ($0's, 2022-23)</v>
      </c>
      <c r="F30" s="301" t="str">
        <f>CONCATENATE(("Project cost ($0's, "),CRCP_y5,")")</f>
        <v>Project cost ($0's, 2022-23)</v>
      </c>
      <c r="G30" s="302"/>
      <c r="H30" s="302"/>
      <c r="I30" s="302"/>
      <c r="J30" s="302"/>
      <c r="K30" s="302"/>
      <c r="L30" s="303"/>
    </row>
    <row r="31" spans="2:13" ht="36" hidden="1" customHeight="1" outlineLevel="2" x14ac:dyDescent="0.25">
      <c r="B31" s="296"/>
      <c r="C31" s="298"/>
      <c r="D31" s="298"/>
      <c r="E31" s="300"/>
      <c r="F31" s="79" t="str">
        <f>FRCP_y1</f>
        <v>2023-24</v>
      </c>
      <c r="G31" s="80" t="str">
        <f>FRCP_y2</f>
        <v>2024-25</v>
      </c>
      <c r="H31" s="80" t="str">
        <f>FRCP_y3</f>
        <v>2025-26</v>
      </c>
      <c r="I31" s="80" t="str">
        <f>FRCP_y4</f>
        <v>2026-27</v>
      </c>
      <c r="J31" s="80" t="str">
        <f>FRCP_y5</f>
        <v>2027-28</v>
      </c>
      <c r="K31" s="81" t="s">
        <v>61</v>
      </c>
      <c r="L31" s="82" t="s">
        <v>62</v>
      </c>
    </row>
    <row r="32" spans="2:13" ht="15" hidden="1" customHeight="1" outlineLevel="2" x14ac:dyDescent="0.25">
      <c r="B32" s="83">
        <v>1</v>
      </c>
      <c r="C32" s="84"/>
      <c r="D32" s="85"/>
      <c r="E32" s="86"/>
      <c r="F32" s="87"/>
      <c r="G32" s="88" t="s">
        <v>63</v>
      </c>
      <c r="H32" s="89"/>
      <c r="I32" s="89"/>
      <c r="J32" s="90"/>
      <c r="K32" s="87"/>
      <c r="L32" s="91"/>
    </row>
    <row r="33" spans="2:12" ht="15" hidden="1" customHeight="1" outlineLevel="2" x14ac:dyDescent="0.25">
      <c r="B33" s="92">
        <v>2</v>
      </c>
      <c r="C33" s="93"/>
      <c r="D33" s="94"/>
      <c r="E33" s="95"/>
      <c r="F33" s="96"/>
      <c r="G33" s="97"/>
      <c r="H33" s="97"/>
      <c r="I33" s="97"/>
      <c r="J33" s="98"/>
      <c r="K33" s="96"/>
      <c r="L33" s="99"/>
    </row>
    <row r="34" spans="2:12" ht="15" hidden="1" customHeight="1" outlineLevel="2" x14ac:dyDescent="0.25">
      <c r="B34" s="92">
        <v>3</v>
      </c>
      <c r="C34" s="93"/>
      <c r="D34" s="94"/>
      <c r="E34" s="95"/>
      <c r="F34" s="96"/>
      <c r="G34" s="97"/>
      <c r="H34" s="97"/>
      <c r="I34" s="97"/>
      <c r="J34" s="98"/>
      <c r="K34" s="96"/>
      <c r="L34" s="99"/>
    </row>
    <row r="35" spans="2:12" ht="15" hidden="1" customHeight="1" outlineLevel="2" x14ac:dyDescent="0.25">
      <c r="B35" s="92">
        <v>4</v>
      </c>
      <c r="C35" s="93"/>
      <c r="D35" s="94"/>
      <c r="E35" s="95"/>
      <c r="F35" s="96"/>
      <c r="G35" s="97"/>
      <c r="H35" s="97"/>
      <c r="I35" s="97"/>
      <c r="J35" s="98"/>
      <c r="K35" s="96"/>
      <c r="L35" s="99"/>
    </row>
    <row r="36" spans="2:12" ht="15" hidden="1" customHeight="1" outlineLevel="2" x14ac:dyDescent="0.25">
      <c r="B36" s="92">
        <v>5</v>
      </c>
      <c r="C36" s="93"/>
      <c r="D36" s="94"/>
      <c r="E36" s="95"/>
      <c r="F36" s="96"/>
      <c r="G36" s="97"/>
      <c r="H36" s="97"/>
      <c r="I36" s="97"/>
      <c r="J36" s="98"/>
      <c r="K36" s="96"/>
      <c r="L36" s="99"/>
    </row>
    <row r="37" spans="2:12" ht="15" hidden="1" customHeight="1" outlineLevel="2" x14ac:dyDescent="0.25">
      <c r="B37" s="92">
        <v>6</v>
      </c>
      <c r="C37" s="93"/>
      <c r="D37" s="94"/>
      <c r="E37" s="95"/>
      <c r="F37" s="96"/>
      <c r="G37" s="97"/>
      <c r="H37" s="97"/>
      <c r="I37" s="97"/>
      <c r="J37" s="98"/>
      <c r="K37" s="96"/>
      <c r="L37" s="99"/>
    </row>
    <row r="38" spans="2:12" ht="15" hidden="1" customHeight="1" outlineLevel="2" x14ac:dyDescent="0.25">
      <c r="B38" s="92">
        <v>7</v>
      </c>
      <c r="C38" s="93"/>
      <c r="D38" s="94"/>
      <c r="E38" s="95"/>
      <c r="F38" s="96"/>
      <c r="G38" s="97"/>
      <c r="H38" s="97"/>
      <c r="I38" s="97"/>
      <c r="J38" s="98"/>
      <c r="K38" s="96"/>
      <c r="L38" s="99"/>
    </row>
    <row r="39" spans="2:12" ht="15" hidden="1" customHeight="1" outlineLevel="2" x14ac:dyDescent="0.25">
      <c r="B39" s="92">
        <v>8</v>
      </c>
      <c r="C39" s="93"/>
      <c r="D39" s="94"/>
      <c r="E39" s="95"/>
      <c r="F39" s="96"/>
      <c r="G39" s="97"/>
      <c r="H39" s="97"/>
      <c r="I39" s="97"/>
      <c r="J39" s="98"/>
      <c r="K39" s="96"/>
      <c r="L39" s="99"/>
    </row>
    <row r="40" spans="2:12" ht="15" hidden="1" customHeight="1" outlineLevel="2" x14ac:dyDescent="0.25">
      <c r="B40" s="92">
        <v>9</v>
      </c>
      <c r="C40" s="93"/>
      <c r="D40" s="94"/>
      <c r="E40" s="95"/>
      <c r="F40" s="96"/>
      <c r="G40" s="97"/>
      <c r="H40" s="97"/>
      <c r="I40" s="97"/>
      <c r="J40" s="98"/>
      <c r="K40" s="96"/>
      <c r="L40" s="99"/>
    </row>
    <row r="41" spans="2:12" ht="15" hidden="1" customHeight="1" outlineLevel="2" x14ac:dyDescent="0.25">
      <c r="B41" s="92">
        <v>10</v>
      </c>
      <c r="C41" s="93"/>
      <c r="D41" s="94"/>
      <c r="E41" s="95"/>
      <c r="F41" s="96"/>
      <c r="G41" s="97"/>
      <c r="H41" s="97"/>
      <c r="I41" s="97"/>
      <c r="J41" s="98"/>
      <c r="K41" s="96"/>
      <c r="L41" s="99"/>
    </row>
    <row r="42" spans="2:12" ht="15" hidden="1" customHeight="1" outlineLevel="2" x14ac:dyDescent="0.25">
      <c r="B42" s="92">
        <v>11</v>
      </c>
      <c r="C42" s="93"/>
      <c r="D42" s="94"/>
      <c r="E42" s="95"/>
      <c r="F42" s="96"/>
      <c r="G42" s="97"/>
      <c r="H42" s="97"/>
      <c r="I42" s="97"/>
      <c r="J42" s="98"/>
      <c r="K42" s="96"/>
      <c r="L42" s="99"/>
    </row>
    <row r="43" spans="2:12" ht="15" hidden="1" customHeight="1" outlineLevel="2" x14ac:dyDescent="0.25">
      <c r="B43" s="92">
        <v>12</v>
      </c>
      <c r="C43" s="93"/>
      <c r="D43" s="94"/>
      <c r="E43" s="95"/>
      <c r="F43" s="96"/>
      <c r="G43" s="97"/>
      <c r="H43" s="97"/>
      <c r="I43" s="97"/>
      <c r="J43" s="98"/>
      <c r="K43" s="96"/>
      <c r="L43" s="99"/>
    </row>
    <row r="44" spans="2:12" ht="15" hidden="1" customHeight="1" outlineLevel="2" x14ac:dyDescent="0.25">
      <c r="B44" s="92">
        <v>13</v>
      </c>
      <c r="C44" s="93"/>
      <c r="D44" s="94"/>
      <c r="E44" s="95"/>
      <c r="F44" s="96"/>
      <c r="G44" s="97"/>
      <c r="H44" s="97"/>
      <c r="I44" s="97"/>
      <c r="J44" s="98"/>
      <c r="K44" s="96"/>
      <c r="L44" s="99"/>
    </row>
    <row r="45" spans="2:12" ht="15" hidden="1" customHeight="1" outlineLevel="2" x14ac:dyDescent="0.25">
      <c r="B45" s="92">
        <v>14</v>
      </c>
      <c r="C45" s="93"/>
      <c r="D45" s="94"/>
      <c r="E45" s="95"/>
      <c r="F45" s="96"/>
      <c r="G45" s="97"/>
      <c r="H45" s="97"/>
      <c r="I45" s="97"/>
      <c r="J45" s="98"/>
      <c r="K45" s="96"/>
      <c r="L45" s="99"/>
    </row>
    <row r="46" spans="2:12" ht="15" hidden="1" customHeight="1" outlineLevel="2" x14ac:dyDescent="0.25">
      <c r="B46" s="92">
        <v>15</v>
      </c>
      <c r="C46" s="93"/>
      <c r="D46" s="94"/>
      <c r="E46" s="95"/>
      <c r="F46" s="96"/>
      <c r="G46" s="97"/>
      <c r="H46" s="97"/>
      <c r="I46" s="97"/>
      <c r="J46" s="98"/>
      <c r="K46" s="96"/>
      <c r="L46" s="99"/>
    </row>
    <row r="47" spans="2:12" ht="15" hidden="1" customHeight="1" outlineLevel="2" x14ac:dyDescent="0.25">
      <c r="B47" s="92">
        <v>16</v>
      </c>
      <c r="C47" s="93"/>
      <c r="D47" s="94"/>
      <c r="E47" s="95"/>
      <c r="F47" s="96"/>
      <c r="G47" s="97"/>
      <c r="H47" s="97"/>
      <c r="I47" s="97"/>
      <c r="J47" s="98"/>
      <c r="K47" s="96"/>
      <c r="L47" s="99"/>
    </row>
    <row r="48" spans="2:12" ht="15" hidden="1" customHeight="1" outlineLevel="2" x14ac:dyDescent="0.25">
      <c r="B48" s="100"/>
      <c r="C48" s="101"/>
      <c r="D48" s="102"/>
      <c r="E48" s="103"/>
      <c r="F48" s="104"/>
      <c r="G48" s="105"/>
      <c r="H48" s="105"/>
      <c r="I48" s="105"/>
      <c r="J48" s="106"/>
      <c r="K48" s="104"/>
      <c r="L48" s="107"/>
    </row>
    <row r="49" spans="2:12" ht="15" hidden="1" customHeight="1" outlineLevel="2" x14ac:dyDescent="0.25">
      <c r="B49" s="108"/>
      <c r="C49" s="109"/>
      <c r="D49" s="110"/>
      <c r="E49" s="111"/>
      <c r="F49" s="112"/>
      <c r="G49" s="113"/>
      <c r="H49" s="113"/>
      <c r="I49" s="113"/>
      <c r="J49" s="114"/>
      <c r="K49" s="112"/>
      <c r="L49" s="115"/>
    </row>
    <row r="50" spans="2:12" collapsed="1" x14ac:dyDescent="0.25"/>
    <row r="51" spans="2:12" ht="15" customHeight="1" thickBot="1" x14ac:dyDescent="0.3"/>
    <row r="52" spans="2:12" ht="24.95" customHeight="1" thickBot="1" x14ac:dyDescent="0.3">
      <c r="B52" s="1" t="s">
        <v>64</v>
      </c>
      <c r="C52" s="1"/>
      <c r="D52" s="1"/>
      <c r="E52" s="1"/>
      <c r="F52" s="1"/>
      <c r="G52"/>
      <c r="H52"/>
      <c r="I52"/>
      <c r="J52"/>
      <c r="K52"/>
      <c r="L52"/>
    </row>
    <row r="53" spans="2:12" ht="45" hidden="1" outlineLevel="2" x14ac:dyDescent="0.25">
      <c r="B53" s="116" t="s">
        <v>65</v>
      </c>
      <c r="C53" s="116" t="s">
        <v>66</v>
      </c>
      <c r="D53" s="116" t="s">
        <v>67</v>
      </c>
      <c r="E53" s="116" t="s">
        <v>68</v>
      </c>
      <c r="F53" s="116" t="s">
        <v>69</v>
      </c>
    </row>
    <row r="54" spans="2:12" ht="21.75" hidden="1" customHeight="1" outlineLevel="2" x14ac:dyDescent="0.25">
      <c r="B54" s="117"/>
      <c r="C54" s="118"/>
      <c r="D54" s="118"/>
      <c r="E54" s="119"/>
      <c r="F54" s="120"/>
    </row>
    <row r="55" spans="2:12" ht="21.75" hidden="1" customHeight="1" outlineLevel="2" x14ac:dyDescent="0.25">
      <c r="B55" s="121"/>
      <c r="C55" s="122"/>
      <c r="D55" s="122"/>
      <c r="E55" s="123"/>
      <c r="F55" s="124"/>
    </row>
    <row r="56" spans="2:12" ht="21.75" hidden="1" customHeight="1" outlineLevel="2" x14ac:dyDescent="0.25">
      <c r="B56" s="121"/>
      <c r="C56" s="122"/>
      <c r="D56" s="122"/>
      <c r="E56" s="123"/>
      <c r="F56" s="124"/>
    </row>
    <row r="57" spans="2:12" ht="21.75" hidden="1" customHeight="1" outlineLevel="2" x14ac:dyDescent="0.25">
      <c r="B57" s="121"/>
      <c r="C57" s="122"/>
      <c r="D57" s="122"/>
      <c r="E57" s="123"/>
      <c r="F57" s="124"/>
    </row>
    <row r="58" spans="2:12" ht="21.75" hidden="1" customHeight="1" outlineLevel="2" x14ac:dyDescent="0.25">
      <c r="B58" s="121"/>
      <c r="C58" s="122"/>
      <c r="D58" s="122"/>
      <c r="E58" s="123"/>
      <c r="F58" s="124"/>
    </row>
    <row r="59" spans="2:12" ht="21.75" hidden="1" customHeight="1" outlineLevel="2" x14ac:dyDescent="0.25">
      <c r="B59" s="121"/>
      <c r="C59" s="122"/>
      <c r="D59" s="122"/>
      <c r="E59" s="123"/>
      <c r="F59" s="124"/>
    </row>
    <row r="60" spans="2:12" ht="21.75" hidden="1" customHeight="1" outlineLevel="2" x14ac:dyDescent="0.25">
      <c r="B60" s="121"/>
      <c r="C60" s="122"/>
      <c r="D60" s="122"/>
      <c r="E60" s="123"/>
      <c r="F60" s="124"/>
    </row>
    <row r="61" spans="2:12" ht="21.75" hidden="1" customHeight="1" outlineLevel="2" x14ac:dyDescent="0.25">
      <c r="B61" s="121"/>
      <c r="C61" s="122"/>
      <c r="D61" s="122"/>
      <c r="E61" s="123"/>
      <c r="F61" s="124"/>
    </row>
    <row r="62" spans="2:12" ht="21.75" hidden="1" customHeight="1" outlineLevel="2" x14ac:dyDescent="0.25">
      <c r="B62" s="121"/>
      <c r="C62" s="122"/>
      <c r="D62" s="122"/>
      <c r="E62" s="123"/>
      <c r="F62" s="124"/>
    </row>
    <row r="63" spans="2:12" ht="21.75" hidden="1" customHeight="1" outlineLevel="2" x14ac:dyDescent="0.25">
      <c r="B63" s="125"/>
      <c r="C63" s="126"/>
      <c r="D63" s="126"/>
      <c r="E63" s="127"/>
      <c r="F63" s="128"/>
    </row>
    <row r="64" spans="2:12" collapsed="1" x14ac:dyDescent="0.25"/>
    <row r="66" spans="2:12" ht="24.95" customHeight="1" x14ac:dyDescent="0.25">
      <c r="B66" s="129" t="s">
        <v>70</v>
      </c>
      <c r="C66" s="129"/>
      <c r="D66" s="129"/>
      <c r="E66" s="129"/>
      <c r="F66" s="129"/>
      <c r="G66" s="129"/>
      <c r="H66" s="129"/>
      <c r="I66"/>
      <c r="J66"/>
      <c r="K66"/>
      <c r="L66"/>
    </row>
    <row r="67" spans="2:12" customFormat="1" ht="15.75" customHeight="1" outlineLevel="2" thickBot="1" x14ac:dyDescent="0.3">
      <c r="B67" s="130"/>
      <c r="C67" s="130"/>
      <c r="D67" s="130"/>
      <c r="E67" s="130"/>
      <c r="F67" s="130"/>
      <c r="G67" s="130"/>
      <c r="H67" s="130"/>
    </row>
    <row r="68" spans="2:12" customFormat="1" outlineLevel="2" x14ac:dyDescent="0.25">
      <c r="D68" s="284" t="s">
        <v>71</v>
      </c>
      <c r="E68" s="285"/>
      <c r="F68" s="285"/>
      <c r="G68" s="285"/>
      <c r="H68" s="286"/>
    </row>
    <row r="69" spans="2:12" customFormat="1" ht="15.75" outlineLevel="2" thickBot="1" x14ac:dyDescent="0.3">
      <c r="D69" s="287" t="s">
        <v>72</v>
      </c>
      <c r="E69" s="288"/>
      <c r="F69" s="289" t="s">
        <v>73</v>
      </c>
      <c r="G69" s="289"/>
      <c r="H69" s="131"/>
    </row>
    <row r="70" spans="2:12" ht="15.75" outlineLevel="2" thickBot="1" x14ac:dyDescent="0.3">
      <c r="B70" s="132" t="s">
        <v>74</v>
      </c>
      <c r="C70" s="133" t="s">
        <v>75</v>
      </c>
      <c r="D70" s="134" t="s">
        <v>76</v>
      </c>
      <c r="E70" s="135" t="s">
        <v>77</v>
      </c>
      <c r="F70" s="136" t="s">
        <v>76</v>
      </c>
      <c r="G70" s="137" t="s">
        <v>77</v>
      </c>
      <c r="H70" s="138" t="s">
        <v>78</v>
      </c>
    </row>
    <row r="71" spans="2:12" outlineLevel="2" x14ac:dyDescent="0.25">
      <c r="B71" s="139" t="str">
        <f t="shared" ref="B71:B82" si="1">LEFT(PRCP_y2,4)</f>
        <v>2014</v>
      </c>
      <c r="C71" s="140" t="s">
        <v>79</v>
      </c>
      <c r="D71" s="141">
        <v>268</v>
      </c>
      <c r="E71" s="142">
        <v>7</v>
      </c>
      <c r="F71" s="141">
        <v>133</v>
      </c>
      <c r="G71" s="142">
        <v>0</v>
      </c>
      <c r="H71" s="143">
        <f t="shared" ref="H71:H82" si="2">+E71/12</f>
        <v>0.58333333333333337</v>
      </c>
    </row>
    <row r="72" spans="2:12" outlineLevel="2" x14ac:dyDescent="0.25">
      <c r="B72" s="144" t="str">
        <f t="shared" si="1"/>
        <v>2014</v>
      </c>
      <c r="C72" s="145" t="s">
        <v>80</v>
      </c>
      <c r="D72" s="146">
        <v>143</v>
      </c>
      <c r="E72" s="147">
        <v>0</v>
      </c>
      <c r="F72" s="146">
        <v>53</v>
      </c>
      <c r="G72" s="147">
        <v>0</v>
      </c>
      <c r="H72" s="148">
        <f t="shared" si="2"/>
        <v>0</v>
      </c>
    </row>
    <row r="73" spans="2:12" outlineLevel="2" x14ac:dyDescent="0.25">
      <c r="B73" s="144" t="str">
        <f t="shared" si="1"/>
        <v>2014</v>
      </c>
      <c r="C73" s="145" t="s">
        <v>81</v>
      </c>
      <c r="D73" s="146">
        <v>265</v>
      </c>
      <c r="E73" s="147">
        <v>0</v>
      </c>
      <c r="F73" s="146">
        <v>93</v>
      </c>
      <c r="G73" s="147">
        <v>0</v>
      </c>
      <c r="H73" s="148">
        <f t="shared" si="2"/>
        <v>0</v>
      </c>
    </row>
    <row r="74" spans="2:12" outlineLevel="2" x14ac:dyDescent="0.25">
      <c r="B74" s="144" t="str">
        <f t="shared" si="1"/>
        <v>2014</v>
      </c>
      <c r="C74" s="145" t="s">
        <v>82</v>
      </c>
      <c r="D74" s="146">
        <v>20</v>
      </c>
      <c r="E74" s="147">
        <v>0</v>
      </c>
      <c r="F74" s="146">
        <v>17</v>
      </c>
      <c r="G74" s="147">
        <v>0</v>
      </c>
      <c r="H74" s="148">
        <f t="shared" si="2"/>
        <v>0</v>
      </c>
    </row>
    <row r="75" spans="2:12" outlineLevel="2" x14ac:dyDescent="0.25">
      <c r="B75" s="144" t="str">
        <f t="shared" si="1"/>
        <v>2014</v>
      </c>
      <c r="C75" s="145" t="s">
        <v>83</v>
      </c>
      <c r="D75" s="146">
        <v>85</v>
      </c>
      <c r="E75" s="147">
        <v>0</v>
      </c>
      <c r="F75" s="146">
        <v>86</v>
      </c>
      <c r="G75" s="147">
        <v>0</v>
      </c>
      <c r="H75" s="148">
        <f t="shared" si="2"/>
        <v>0</v>
      </c>
    </row>
    <row r="76" spans="2:12" outlineLevel="2" x14ac:dyDescent="0.25">
      <c r="B76" s="144" t="str">
        <f t="shared" si="1"/>
        <v>2014</v>
      </c>
      <c r="C76" s="145" t="s">
        <v>84</v>
      </c>
      <c r="D76" s="146">
        <v>248</v>
      </c>
      <c r="E76" s="147">
        <v>0</v>
      </c>
      <c r="F76" s="146">
        <v>35</v>
      </c>
      <c r="G76" s="147">
        <v>0</v>
      </c>
      <c r="H76" s="148">
        <f t="shared" si="2"/>
        <v>0</v>
      </c>
    </row>
    <row r="77" spans="2:12" outlineLevel="2" x14ac:dyDescent="0.25">
      <c r="B77" s="144" t="str">
        <f t="shared" si="1"/>
        <v>2014</v>
      </c>
      <c r="C77" s="145" t="s">
        <v>85</v>
      </c>
      <c r="D77" s="146">
        <v>113</v>
      </c>
      <c r="E77" s="147">
        <v>0</v>
      </c>
      <c r="F77" s="146">
        <v>25</v>
      </c>
      <c r="G77" s="147">
        <v>0</v>
      </c>
      <c r="H77" s="148">
        <f t="shared" si="2"/>
        <v>0</v>
      </c>
    </row>
    <row r="78" spans="2:12" outlineLevel="2" x14ac:dyDescent="0.25">
      <c r="B78" s="144" t="str">
        <f t="shared" si="1"/>
        <v>2014</v>
      </c>
      <c r="C78" s="145" t="s">
        <v>86</v>
      </c>
      <c r="D78" s="146">
        <v>38</v>
      </c>
      <c r="E78" s="147">
        <v>15</v>
      </c>
      <c r="F78" s="146">
        <v>84</v>
      </c>
      <c r="G78" s="147">
        <v>0</v>
      </c>
      <c r="H78" s="148">
        <f t="shared" si="2"/>
        <v>1.25</v>
      </c>
    </row>
    <row r="79" spans="2:12" outlineLevel="2" x14ac:dyDescent="0.25">
      <c r="B79" s="144" t="str">
        <f t="shared" si="1"/>
        <v>2014</v>
      </c>
      <c r="C79" s="145" t="s">
        <v>87</v>
      </c>
      <c r="D79" s="146">
        <v>290</v>
      </c>
      <c r="E79" s="147">
        <v>0</v>
      </c>
      <c r="F79" s="146">
        <v>64</v>
      </c>
      <c r="G79" s="147">
        <v>0</v>
      </c>
      <c r="H79" s="148">
        <f t="shared" si="2"/>
        <v>0</v>
      </c>
    </row>
    <row r="80" spans="2:12" outlineLevel="2" x14ac:dyDescent="0.25">
      <c r="B80" s="144" t="str">
        <f t="shared" si="1"/>
        <v>2014</v>
      </c>
      <c r="C80" s="145" t="s">
        <v>88</v>
      </c>
      <c r="D80" s="146">
        <v>383</v>
      </c>
      <c r="E80" s="147">
        <v>39</v>
      </c>
      <c r="F80" s="146">
        <v>113</v>
      </c>
      <c r="G80" s="147">
        <v>9</v>
      </c>
      <c r="H80" s="148">
        <f t="shared" si="2"/>
        <v>3.25</v>
      </c>
    </row>
    <row r="81" spans="2:8" outlineLevel="2" x14ac:dyDescent="0.25">
      <c r="B81" s="144" t="str">
        <f t="shared" si="1"/>
        <v>2014</v>
      </c>
      <c r="C81" s="145" t="s">
        <v>89</v>
      </c>
      <c r="D81" s="146">
        <v>115</v>
      </c>
      <c r="E81" s="147">
        <v>0</v>
      </c>
      <c r="F81" s="146">
        <v>24</v>
      </c>
      <c r="G81" s="147">
        <v>0</v>
      </c>
      <c r="H81" s="148">
        <f t="shared" si="2"/>
        <v>0</v>
      </c>
    </row>
    <row r="82" spans="2:8" ht="15.75" outlineLevel="2" thickBot="1" x14ac:dyDescent="0.3">
      <c r="B82" s="144" t="str">
        <f t="shared" si="1"/>
        <v>2014</v>
      </c>
      <c r="C82" s="149" t="s">
        <v>90</v>
      </c>
      <c r="D82" s="150">
        <v>99</v>
      </c>
      <c r="E82" s="151">
        <v>26</v>
      </c>
      <c r="F82" s="150">
        <v>274</v>
      </c>
      <c r="G82" s="151">
        <v>0</v>
      </c>
      <c r="H82" s="152">
        <f t="shared" si="2"/>
        <v>2.1666666666666665</v>
      </c>
    </row>
    <row r="83" spans="2:8" ht="15.75" outlineLevel="2" thickBot="1" x14ac:dyDescent="0.3">
      <c r="B83" s="153" t="str">
        <f>CONCATENATE("Total ",LEFT(PRCP_y2,4))</f>
        <v>Total 2014</v>
      </c>
      <c r="C83" s="154"/>
      <c r="D83" s="155">
        <f>+SUM(D71:D82)</f>
        <v>2067</v>
      </c>
      <c r="E83" s="156">
        <f>+SUM(E71:E82)</f>
        <v>87</v>
      </c>
      <c r="F83" s="155">
        <f>+SUM(F71:F82)</f>
        <v>1001</v>
      </c>
      <c r="G83" s="156">
        <f>+SUM(G71:G82)</f>
        <v>9</v>
      </c>
      <c r="H83" s="157">
        <f>+SUM(H71:H82)</f>
        <v>7.25</v>
      </c>
    </row>
    <row r="84" spans="2:8" outlineLevel="2" x14ac:dyDescent="0.25">
      <c r="B84" s="139" t="str">
        <f t="shared" ref="B84:B95" si="3">LEFT(PRCP_y3,4)</f>
        <v>2015</v>
      </c>
      <c r="C84" s="140" t="s">
        <v>79</v>
      </c>
      <c r="D84" s="158">
        <v>29</v>
      </c>
      <c r="E84" s="159">
        <v>0</v>
      </c>
      <c r="F84" s="158">
        <v>546</v>
      </c>
      <c r="G84" s="159">
        <v>283</v>
      </c>
      <c r="H84" s="143">
        <f t="shared" ref="H84:H149" si="4">+E84/12</f>
        <v>0</v>
      </c>
    </row>
    <row r="85" spans="2:8" outlineLevel="2" x14ac:dyDescent="0.25">
      <c r="B85" s="144" t="str">
        <f t="shared" si="3"/>
        <v>2015</v>
      </c>
      <c r="C85" s="145" t="s">
        <v>80</v>
      </c>
      <c r="D85" s="160">
        <v>85</v>
      </c>
      <c r="E85" s="161">
        <v>0</v>
      </c>
      <c r="F85" s="160">
        <v>102</v>
      </c>
      <c r="G85" s="161">
        <v>0</v>
      </c>
      <c r="H85" s="148">
        <f t="shared" si="4"/>
        <v>0</v>
      </c>
    </row>
    <row r="86" spans="2:8" outlineLevel="2" x14ac:dyDescent="0.25">
      <c r="B86" s="144" t="str">
        <f t="shared" si="3"/>
        <v>2015</v>
      </c>
      <c r="C86" s="145" t="s">
        <v>81</v>
      </c>
      <c r="D86" s="160">
        <v>600</v>
      </c>
      <c r="E86" s="161">
        <v>537</v>
      </c>
      <c r="F86" s="160">
        <v>42</v>
      </c>
      <c r="G86" s="161">
        <v>0</v>
      </c>
      <c r="H86" s="148">
        <f t="shared" si="4"/>
        <v>44.75</v>
      </c>
    </row>
    <row r="87" spans="2:8" outlineLevel="2" x14ac:dyDescent="0.25">
      <c r="B87" s="144" t="str">
        <f t="shared" si="3"/>
        <v>2015</v>
      </c>
      <c r="C87" s="145" t="s">
        <v>82</v>
      </c>
      <c r="D87" s="160">
        <v>1180</v>
      </c>
      <c r="E87" s="161">
        <v>593</v>
      </c>
      <c r="F87" s="160">
        <v>155</v>
      </c>
      <c r="G87" s="161">
        <v>37</v>
      </c>
      <c r="H87" s="148">
        <f t="shared" si="4"/>
        <v>49.416666666666664</v>
      </c>
    </row>
    <row r="88" spans="2:8" outlineLevel="2" x14ac:dyDescent="0.25">
      <c r="B88" s="144" t="str">
        <f t="shared" si="3"/>
        <v>2015</v>
      </c>
      <c r="C88" s="145" t="s">
        <v>83</v>
      </c>
      <c r="D88" s="160">
        <v>1759</v>
      </c>
      <c r="E88" s="161">
        <v>967</v>
      </c>
      <c r="F88" s="160">
        <v>224</v>
      </c>
      <c r="G88" s="161">
        <v>0</v>
      </c>
      <c r="H88" s="148">
        <f t="shared" si="4"/>
        <v>80.583333333333329</v>
      </c>
    </row>
    <row r="89" spans="2:8" outlineLevel="2" x14ac:dyDescent="0.25">
      <c r="B89" s="144" t="str">
        <f t="shared" si="3"/>
        <v>2015</v>
      </c>
      <c r="C89" s="145" t="s">
        <v>84</v>
      </c>
      <c r="D89" s="160">
        <v>118</v>
      </c>
      <c r="E89" s="161">
        <v>83</v>
      </c>
      <c r="F89" s="160">
        <v>18</v>
      </c>
      <c r="G89" s="161">
        <v>0</v>
      </c>
      <c r="H89" s="148">
        <f t="shared" si="4"/>
        <v>6.916666666666667</v>
      </c>
    </row>
    <row r="90" spans="2:8" outlineLevel="2" x14ac:dyDescent="0.25">
      <c r="B90" s="144" t="str">
        <f t="shared" si="3"/>
        <v>2015</v>
      </c>
      <c r="C90" s="145" t="s">
        <v>85</v>
      </c>
      <c r="D90" s="160">
        <v>3927</v>
      </c>
      <c r="E90" s="161">
        <v>2749</v>
      </c>
      <c r="F90" s="160">
        <v>149</v>
      </c>
      <c r="G90" s="161">
        <v>42</v>
      </c>
      <c r="H90" s="148">
        <f t="shared" si="4"/>
        <v>229.08333333333334</v>
      </c>
    </row>
    <row r="91" spans="2:8" outlineLevel="2" x14ac:dyDescent="0.25">
      <c r="B91" s="144" t="str">
        <f t="shared" si="3"/>
        <v>2015</v>
      </c>
      <c r="C91" s="145" t="s">
        <v>86</v>
      </c>
      <c r="D91" s="160">
        <v>998</v>
      </c>
      <c r="E91" s="161">
        <v>477</v>
      </c>
      <c r="F91" s="160">
        <v>353</v>
      </c>
      <c r="G91" s="161">
        <v>236</v>
      </c>
      <c r="H91" s="148">
        <f t="shared" si="4"/>
        <v>39.75</v>
      </c>
    </row>
    <row r="92" spans="2:8" outlineLevel="2" x14ac:dyDescent="0.25">
      <c r="B92" s="144" t="str">
        <f t="shared" si="3"/>
        <v>2015</v>
      </c>
      <c r="C92" s="145" t="s">
        <v>87</v>
      </c>
      <c r="D92" s="160">
        <v>2137</v>
      </c>
      <c r="E92" s="161">
        <v>1593</v>
      </c>
      <c r="F92" s="160">
        <v>148</v>
      </c>
      <c r="G92" s="161">
        <v>33</v>
      </c>
      <c r="H92" s="148">
        <f t="shared" si="4"/>
        <v>132.75</v>
      </c>
    </row>
    <row r="93" spans="2:8" outlineLevel="2" x14ac:dyDescent="0.25">
      <c r="B93" s="144" t="str">
        <f t="shared" si="3"/>
        <v>2015</v>
      </c>
      <c r="C93" s="145" t="s">
        <v>88</v>
      </c>
      <c r="D93" s="160">
        <v>10781</v>
      </c>
      <c r="E93" s="161">
        <v>1690</v>
      </c>
      <c r="F93" s="160">
        <v>171</v>
      </c>
      <c r="G93" s="161">
        <v>0</v>
      </c>
      <c r="H93" s="148">
        <f t="shared" si="4"/>
        <v>140.83333333333334</v>
      </c>
    </row>
    <row r="94" spans="2:8" outlineLevel="2" x14ac:dyDescent="0.25">
      <c r="B94" s="144" t="str">
        <f t="shared" si="3"/>
        <v>2015</v>
      </c>
      <c r="C94" s="145" t="s">
        <v>89</v>
      </c>
      <c r="D94" s="160">
        <v>7919</v>
      </c>
      <c r="E94" s="161">
        <v>870</v>
      </c>
      <c r="F94" s="160">
        <v>591</v>
      </c>
      <c r="G94" s="161">
        <v>81</v>
      </c>
      <c r="H94" s="148">
        <f t="shared" si="4"/>
        <v>72.5</v>
      </c>
    </row>
    <row r="95" spans="2:8" ht="15.75" outlineLevel="2" thickBot="1" x14ac:dyDescent="0.3">
      <c r="B95" s="144" t="str">
        <f t="shared" si="3"/>
        <v>2015</v>
      </c>
      <c r="C95" s="149" t="s">
        <v>90</v>
      </c>
      <c r="D95" s="162">
        <v>1180</v>
      </c>
      <c r="E95" s="163">
        <v>445</v>
      </c>
      <c r="F95" s="162">
        <v>188</v>
      </c>
      <c r="G95" s="163">
        <v>81</v>
      </c>
      <c r="H95" s="152">
        <f t="shared" si="4"/>
        <v>37.083333333333336</v>
      </c>
    </row>
    <row r="96" spans="2:8" ht="15.75" outlineLevel="2" thickBot="1" x14ac:dyDescent="0.3">
      <c r="B96" s="153" t="str">
        <f>CONCATENATE("Total ", LEFT(PRCP_y3,4))</f>
        <v>Total 2015</v>
      </c>
      <c r="C96" s="154"/>
      <c r="D96" s="155">
        <f>+SUM(D84:D95)</f>
        <v>30713</v>
      </c>
      <c r="E96" s="156">
        <f>+SUM(E84:E95)</f>
        <v>10004</v>
      </c>
      <c r="F96" s="155">
        <f>+SUM(F84:F95)</f>
        <v>2687</v>
      </c>
      <c r="G96" s="156">
        <f>+SUM(G84:G95)</f>
        <v>793</v>
      </c>
      <c r="H96" s="157">
        <f>+SUM(H84:H95)</f>
        <v>833.66666666666674</v>
      </c>
    </row>
    <row r="97" spans="2:8" outlineLevel="2" x14ac:dyDescent="0.25">
      <c r="B97" s="139" t="str">
        <f t="shared" ref="B97:B108" si="5">LEFT(PRCP_y4,4)</f>
        <v>2016</v>
      </c>
      <c r="C97" s="140" t="s">
        <v>79</v>
      </c>
      <c r="D97" s="141">
        <v>693</v>
      </c>
      <c r="E97" s="142">
        <v>217</v>
      </c>
      <c r="F97" s="141">
        <v>6</v>
      </c>
      <c r="G97" s="142">
        <v>0</v>
      </c>
      <c r="H97" s="143">
        <f t="shared" si="4"/>
        <v>18.083333333333332</v>
      </c>
    </row>
    <row r="98" spans="2:8" outlineLevel="2" x14ac:dyDescent="0.25">
      <c r="B98" s="144" t="str">
        <f t="shared" si="5"/>
        <v>2016</v>
      </c>
      <c r="C98" s="145" t="s">
        <v>80</v>
      </c>
      <c r="D98" s="146">
        <v>414</v>
      </c>
      <c r="E98" s="147">
        <v>0</v>
      </c>
      <c r="F98" s="146">
        <v>4</v>
      </c>
      <c r="G98" s="147">
        <v>3</v>
      </c>
      <c r="H98" s="148">
        <f t="shared" si="4"/>
        <v>0</v>
      </c>
    </row>
    <row r="99" spans="2:8" outlineLevel="2" x14ac:dyDescent="0.25">
      <c r="B99" s="144" t="str">
        <f t="shared" si="5"/>
        <v>2016</v>
      </c>
      <c r="C99" s="145" t="s">
        <v>81</v>
      </c>
      <c r="D99" s="146">
        <v>1845</v>
      </c>
      <c r="E99" s="147">
        <v>737</v>
      </c>
      <c r="F99" s="146">
        <v>246</v>
      </c>
      <c r="G99" s="147">
        <v>184</v>
      </c>
      <c r="H99" s="148">
        <f t="shared" si="4"/>
        <v>61.416666666666664</v>
      </c>
    </row>
    <row r="100" spans="2:8" outlineLevel="2" x14ac:dyDescent="0.25">
      <c r="B100" s="144" t="str">
        <f t="shared" si="5"/>
        <v>2016</v>
      </c>
      <c r="C100" s="145" t="s">
        <v>82</v>
      </c>
      <c r="D100" s="146">
        <v>1938</v>
      </c>
      <c r="E100" s="147">
        <v>671</v>
      </c>
      <c r="F100" s="146">
        <v>8</v>
      </c>
      <c r="G100" s="147">
        <v>0</v>
      </c>
      <c r="H100" s="148">
        <f t="shared" si="4"/>
        <v>55.916666666666664</v>
      </c>
    </row>
    <row r="101" spans="2:8" outlineLevel="2" x14ac:dyDescent="0.25">
      <c r="B101" s="144" t="str">
        <f t="shared" si="5"/>
        <v>2016</v>
      </c>
      <c r="C101" s="145" t="s">
        <v>83</v>
      </c>
      <c r="D101" s="146">
        <v>1542</v>
      </c>
      <c r="E101" s="147">
        <v>746</v>
      </c>
      <c r="F101" s="146">
        <v>122</v>
      </c>
      <c r="G101" s="147">
        <v>23</v>
      </c>
      <c r="H101" s="148">
        <f t="shared" si="4"/>
        <v>62.166666666666664</v>
      </c>
    </row>
    <row r="102" spans="2:8" outlineLevel="2" x14ac:dyDescent="0.25">
      <c r="B102" s="144" t="str">
        <f t="shared" si="5"/>
        <v>2016</v>
      </c>
      <c r="C102" s="145" t="s">
        <v>84</v>
      </c>
      <c r="D102" s="146">
        <v>3865</v>
      </c>
      <c r="E102" s="147">
        <v>1318</v>
      </c>
      <c r="F102" s="146">
        <v>26</v>
      </c>
      <c r="G102" s="147">
        <v>0</v>
      </c>
      <c r="H102" s="148">
        <f t="shared" si="4"/>
        <v>109.83333333333333</v>
      </c>
    </row>
    <row r="103" spans="2:8" outlineLevel="2" x14ac:dyDescent="0.25">
      <c r="B103" s="144" t="str">
        <f t="shared" si="5"/>
        <v>2016</v>
      </c>
      <c r="C103" s="145" t="s">
        <v>85</v>
      </c>
      <c r="D103" s="146">
        <v>4816</v>
      </c>
      <c r="E103" s="147">
        <v>4390</v>
      </c>
      <c r="F103" s="146">
        <v>95</v>
      </c>
      <c r="G103" s="147">
        <v>4</v>
      </c>
      <c r="H103" s="148">
        <f t="shared" si="4"/>
        <v>365.83333333333331</v>
      </c>
    </row>
    <row r="104" spans="2:8" outlineLevel="2" x14ac:dyDescent="0.25">
      <c r="B104" s="144" t="str">
        <f t="shared" si="5"/>
        <v>2016</v>
      </c>
      <c r="C104" s="145" t="s">
        <v>86</v>
      </c>
      <c r="D104" s="146">
        <v>5976</v>
      </c>
      <c r="E104" s="147">
        <v>1228</v>
      </c>
      <c r="F104" s="146">
        <v>203</v>
      </c>
      <c r="G104" s="147">
        <v>7</v>
      </c>
      <c r="H104" s="148">
        <f t="shared" si="4"/>
        <v>102.33333333333333</v>
      </c>
    </row>
    <row r="105" spans="2:8" outlineLevel="2" x14ac:dyDescent="0.25">
      <c r="B105" s="144" t="str">
        <f t="shared" si="5"/>
        <v>2016</v>
      </c>
      <c r="C105" s="145" t="s">
        <v>87</v>
      </c>
      <c r="D105" s="146">
        <v>5178</v>
      </c>
      <c r="E105" s="147">
        <v>411</v>
      </c>
      <c r="F105" s="146">
        <v>2497</v>
      </c>
      <c r="G105" s="147">
        <v>0</v>
      </c>
      <c r="H105" s="148">
        <f t="shared" si="4"/>
        <v>34.25</v>
      </c>
    </row>
    <row r="106" spans="2:8" outlineLevel="2" x14ac:dyDescent="0.25">
      <c r="B106" s="144" t="str">
        <f t="shared" si="5"/>
        <v>2016</v>
      </c>
      <c r="C106" s="145" t="s">
        <v>88</v>
      </c>
      <c r="D106" s="146">
        <v>4103.5</v>
      </c>
      <c r="E106" s="147">
        <v>430.5</v>
      </c>
      <c r="F106" s="146">
        <v>8558</v>
      </c>
      <c r="G106" s="147">
        <v>334</v>
      </c>
      <c r="H106" s="148">
        <f t="shared" si="4"/>
        <v>35.875</v>
      </c>
    </row>
    <row r="107" spans="2:8" outlineLevel="2" x14ac:dyDescent="0.25">
      <c r="B107" s="144" t="str">
        <f t="shared" si="5"/>
        <v>2016</v>
      </c>
      <c r="C107" s="145" t="s">
        <v>89</v>
      </c>
      <c r="D107" s="160">
        <v>8088</v>
      </c>
      <c r="E107" s="161">
        <v>645</v>
      </c>
      <c r="F107" s="160">
        <v>1014</v>
      </c>
      <c r="G107" s="161">
        <v>31</v>
      </c>
      <c r="H107" s="148">
        <f t="shared" si="4"/>
        <v>53.75</v>
      </c>
    </row>
    <row r="108" spans="2:8" ht="15.75" outlineLevel="2" thickBot="1" x14ac:dyDescent="0.3">
      <c r="B108" s="164" t="str">
        <f t="shared" si="5"/>
        <v>2016</v>
      </c>
      <c r="C108" s="149" t="s">
        <v>90</v>
      </c>
      <c r="D108" s="162">
        <v>4857</v>
      </c>
      <c r="E108" s="163">
        <v>305</v>
      </c>
      <c r="F108" s="162">
        <v>202</v>
      </c>
      <c r="G108" s="163">
        <v>0</v>
      </c>
      <c r="H108" s="152">
        <f t="shared" si="4"/>
        <v>25.416666666666668</v>
      </c>
    </row>
    <row r="109" spans="2:8" ht="15.75" outlineLevel="2" thickBot="1" x14ac:dyDescent="0.3">
      <c r="B109" s="153" t="str">
        <f>CONCATENATE("Total ", LEFT(PRCP_y4,4))</f>
        <v>Total 2016</v>
      </c>
      <c r="C109" s="154"/>
      <c r="D109" s="155">
        <f>+SUM(D97:D108)</f>
        <v>43315.5</v>
      </c>
      <c r="E109" s="156">
        <f>+SUM(E97:E108)</f>
        <v>11098.5</v>
      </c>
      <c r="F109" s="155">
        <f>+SUM(F97:F108)</f>
        <v>12981</v>
      </c>
      <c r="G109" s="156">
        <f>+SUM(G97:G108)</f>
        <v>586</v>
      </c>
      <c r="H109" s="157">
        <f>+SUM(H97:H108)</f>
        <v>924.875</v>
      </c>
    </row>
    <row r="110" spans="2:8" outlineLevel="2" x14ac:dyDescent="0.25">
      <c r="B110" s="139" t="str">
        <f t="shared" ref="B110:B121" si="6">LEFT(PRCP_y5,4)</f>
        <v>2017</v>
      </c>
      <c r="C110" s="140" t="s">
        <v>79</v>
      </c>
      <c r="D110" s="158">
        <v>824</v>
      </c>
      <c r="E110" s="159">
        <v>23</v>
      </c>
      <c r="F110" s="158">
        <v>135</v>
      </c>
      <c r="G110" s="159">
        <v>0</v>
      </c>
      <c r="H110" s="143">
        <f t="shared" si="4"/>
        <v>1.9166666666666667</v>
      </c>
    </row>
    <row r="111" spans="2:8" outlineLevel="2" x14ac:dyDescent="0.25">
      <c r="B111" s="144" t="str">
        <f t="shared" si="6"/>
        <v>2017</v>
      </c>
      <c r="C111" s="145" t="s">
        <v>80</v>
      </c>
      <c r="D111" s="160">
        <v>886</v>
      </c>
      <c r="E111" s="161">
        <v>19</v>
      </c>
      <c r="F111" s="160">
        <v>172</v>
      </c>
      <c r="G111" s="161">
        <v>0</v>
      </c>
      <c r="H111" s="148">
        <f t="shared" si="4"/>
        <v>1.5833333333333333</v>
      </c>
    </row>
    <row r="112" spans="2:8" outlineLevel="2" x14ac:dyDescent="0.25">
      <c r="B112" s="144" t="str">
        <f t="shared" si="6"/>
        <v>2017</v>
      </c>
      <c r="C112" s="145" t="s">
        <v>81</v>
      </c>
      <c r="D112" s="160">
        <v>5065</v>
      </c>
      <c r="E112" s="161">
        <v>2</v>
      </c>
      <c r="F112" s="160">
        <v>96</v>
      </c>
      <c r="G112" s="161">
        <v>38</v>
      </c>
      <c r="H112" s="148">
        <f t="shared" si="4"/>
        <v>0.16666666666666666</v>
      </c>
    </row>
    <row r="113" spans="2:8" outlineLevel="2" x14ac:dyDescent="0.25">
      <c r="B113" s="144" t="str">
        <f t="shared" si="6"/>
        <v>2017</v>
      </c>
      <c r="C113" s="145" t="s">
        <v>82</v>
      </c>
      <c r="D113" s="160">
        <v>963</v>
      </c>
      <c r="E113" s="161">
        <v>106</v>
      </c>
      <c r="F113" s="160">
        <v>0</v>
      </c>
      <c r="G113" s="161">
        <v>0</v>
      </c>
      <c r="H113" s="148">
        <f t="shared" si="4"/>
        <v>8.8333333333333339</v>
      </c>
    </row>
    <row r="114" spans="2:8" outlineLevel="2" x14ac:dyDescent="0.25">
      <c r="B114" s="144" t="str">
        <f t="shared" si="6"/>
        <v>2017</v>
      </c>
      <c r="C114" s="145" t="s">
        <v>83</v>
      </c>
      <c r="D114" s="160">
        <v>732</v>
      </c>
      <c r="E114" s="161">
        <v>0</v>
      </c>
      <c r="F114" s="160">
        <v>0</v>
      </c>
      <c r="G114" s="161">
        <v>0</v>
      </c>
      <c r="H114" s="148">
        <f t="shared" si="4"/>
        <v>0</v>
      </c>
    </row>
    <row r="115" spans="2:8" outlineLevel="2" x14ac:dyDescent="0.25">
      <c r="B115" s="144" t="str">
        <f t="shared" si="6"/>
        <v>2017</v>
      </c>
      <c r="C115" s="145" t="s">
        <v>84</v>
      </c>
      <c r="D115" s="160">
        <v>1234</v>
      </c>
      <c r="E115" s="161">
        <v>414</v>
      </c>
      <c r="F115" s="160">
        <v>0</v>
      </c>
      <c r="G115" s="161">
        <v>0</v>
      </c>
      <c r="H115" s="148">
        <f t="shared" si="4"/>
        <v>34.5</v>
      </c>
    </row>
    <row r="116" spans="2:8" outlineLevel="2" x14ac:dyDescent="0.25">
      <c r="B116" s="144" t="str">
        <f t="shared" si="6"/>
        <v>2017</v>
      </c>
      <c r="C116" s="145" t="s">
        <v>85</v>
      </c>
      <c r="D116" s="160">
        <v>1599</v>
      </c>
      <c r="E116" s="161">
        <v>204</v>
      </c>
      <c r="F116" s="160">
        <v>75</v>
      </c>
      <c r="G116" s="161">
        <v>0</v>
      </c>
      <c r="H116" s="148">
        <f t="shared" si="4"/>
        <v>17</v>
      </c>
    </row>
    <row r="117" spans="2:8" outlineLevel="2" x14ac:dyDescent="0.25">
      <c r="B117" s="144" t="str">
        <f t="shared" si="6"/>
        <v>2017</v>
      </c>
      <c r="C117" s="145" t="s">
        <v>86</v>
      </c>
      <c r="D117" s="160">
        <v>2755</v>
      </c>
      <c r="E117" s="161">
        <v>172</v>
      </c>
      <c r="F117" s="160">
        <v>0</v>
      </c>
      <c r="G117" s="161">
        <v>0</v>
      </c>
      <c r="H117" s="148">
        <f t="shared" si="4"/>
        <v>14.333333333333334</v>
      </c>
    </row>
    <row r="118" spans="2:8" outlineLevel="2" x14ac:dyDescent="0.25">
      <c r="B118" s="144" t="str">
        <f t="shared" si="6"/>
        <v>2017</v>
      </c>
      <c r="C118" s="145" t="s">
        <v>87</v>
      </c>
      <c r="D118" s="160">
        <v>3340</v>
      </c>
      <c r="E118" s="161">
        <v>392</v>
      </c>
      <c r="F118" s="160">
        <v>856</v>
      </c>
      <c r="G118" s="161">
        <v>200</v>
      </c>
      <c r="H118" s="148">
        <f t="shared" si="4"/>
        <v>32.666666666666664</v>
      </c>
    </row>
    <row r="119" spans="2:8" outlineLevel="2" x14ac:dyDescent="0.25">
      <c r="B119" s="144" t="str">
        <f t="shared" si="6"/>
        <v>2017</v>
      </c>
      <c r="C119" s="145" t="s">
        <v>88</v>
      </c>
      <c r="D119" s="160">
        <v>4737</v>
      </c>
      <c r="E119" s="161">
        <v>336</v>
      </c>
      <c r="F119" s="160">
        <v>17</v>
      </c>
      <c r="G119" s="161">
        <v>0</v>
      </c>
      <c r="H119" s="148">
        <f t="shared" si="4"/>
        <v>28</v>
      </c>
    </row>
    <row r="120" spans="2:8" outlineLevel="2" x14ac:dyDescent="0.25">
      <c r="B120" s="144" t="str">
        <f t="shared" si="6"/>
        <v>2017</v>
      </c>
      <c r="C120" s="145" t="s">
        <v>89</v>
      </c>
      <c r="D120" s="160">
        <v>1358</v>
      </c>
      <c r="E120" s="161">
        <v>422</v>
      </c>
      <c r="F120" s="160">
        <v>105</v>
      </c>
      <c r="G120" s="161">
        <v>0</v>
      </c>
      <c r="H120" s="148">
        <f t="shared" si="4"/>
        <v>35.166666666666664</v>
      </c>
    </row>
    <row r="121" spans="2:8" ht="15.75" outlineLevel="2" thickBot="1" x14ac:dyDescent="0.3">
      <c r="B121" s="164" t="str">
        <f t="shared" si="6"/>
        <v>2017</v>
      </c>
      <c r="C121" s="149" t="s">
        <v>90</v>
      </c>
      <c r="D121" s="162">
        <v>3521</v>
      </c>
      <c r="E121" s="163">
        <v>0</v>
      </c>
      <c r="F121" s="162">
        <v>0</v>
      </c>
      <c r="G121" s="163">
        <v>0</v>
      </c>
      <c r="H121" s="152">
        <f t="shared" si="4"/>
        <v>0</v>
      </c>
    </row>
    <row r="122" spans="2:8" ht="15.75" outlineLevel="2" thickBot="1" x14ac:dyDescent="0.3">
      <c r="B122" s="153" t="str">
        <f>CONCATENATE("Total ", LEFT(PRCP_y5,4))</f>
        <v>Total 2017</v>
      </c>
      <c r="C122" s="154"/>
      <c r="D122" s="155">
        <f>+SUM(D110:D121)</f>
        <v>27014</v>
      </c>
      <c r="E122" s="156">
        <f>+SUM(E110:E121)</f>
        <v>2090</v>
      </c>
      <c r="F122" s="155">
        <f>+SUM(F110:F121)</f>
        <v>1456</v>
      </c>
      <c r="G122" s="156">
        <f>+SUM(G110:G121)</f>
        <v>238</v>
      </c>
      <c r="H122" s="157">
        <f>+SUM(H110:H121)</f>
        <v>174.16666666666666</v>
      </c>
    </row>
    <row r="123" spans="2:8" outlineLevel="2" x14ac:dyDescent="0.25">
      <c r="B123" s="139" t="str">
        <f t="shared" ref="B123:B134" si="7">LEFT(CRCP_y1,4)</f>
        <v>2018</v>
      </c>
      <c r="C123" s="140" t="s">
        <v>79</v>
      </c>
      <c r="D123" s="165">
        <v>207</v>
      </c>
      <c r="E123" s="166">
        <v>67</v>
      </c>
      <c r="F123" s="165">
        <v>2972</v>
      </c>
      <c r="G123" s="166">
        <v>0</v>
      </c>
      <c r="H123" s="143">
        <f t="shared" si="4"/>
        <v>5.583333333333333</v>
      </c>
    </row>
    <row r="124" spans="2:8" outlineLevel="2" x14ac:dyDescent="0.25">
      <c r="B124" s="144" t="str">
        <f t="shared" si="7"/>
        <v>2018</v>
      </c>
      <c r="C124" s="145" t="s">
        <v>80</v>
      </c>
      <c r="D124" s="167">
        <v>14</v>
      </c>
      <c r="E124" s="168">
        <v>1</v>
      </c>
      <c r="F124" s="167">
        <v>982</v>
      </c>
      <c r="G124" s="168">
        <v>0</v>
      </c>
      <c r="H124" s="148">
        <f t="shared" si="4"/>
        <v>8.3333333333333329E-2</v>
      </c>
    </row>
    <row r="125" spans="2:8" outlineLevel="2" x14ac:dyDescent="0.25">
      <c r="B125" s="144" t="str">
        <f t="shared" si="7"/>
        <v>2018</v>
      </c>
      <c r="C125" s="145" t="s">
        <v>81</v>
      </c>
      <c r="D125" s="167">
        <v>195</v>
      </c>
      <c r="E125" s="168">
        <v>62</v>
      </c>
      <c r="F125" s="167">
        <v>3338</v>
      </c>
      <c r="G125" s="168">
        <v>0</v>
      </c>
      <c r="H125" s="148">
        <f t="shared" si="4"/>
        <v>5.166666666666667</v>
      </c>
    </row>
    <row r="126" spans="2:8" outlineLevel="2" x14ac:dyDescent="0.25">
      <c r="B126" s="144" t="str">
        <f t="shared" si="7"/>
        <v>2018</v>
      </c>
      <c r="C126" s="145" t="s">
        <v>82</v>
      </c>
      <c r="D126" s="167">
        <v>101</v>
      </c>
      <c r="E126" s="168">
        <v>73</v>
      </c>
      <c r="F126" s="167">
        <v>14351</v>
      </c>
      <c r="G126" s="168">
        <v>49</v>
      </c>
      <c r="H126" s="148">
        <f t="shared" si="4"/>
        <v>6.083333333333333</v>
      </c>
    </row>
    <row r="127" spans="2:8" outlineLevel="2" x14ac:dyDescent="0.25">
      <c r="B127" s="144" t="str">
        <f t="shared" si="7"/>
        <v>2018</v>
      </c>
      <c r="C127" s="145" t="s">
        <v>83</v>
      </c>
      <c r="D127" s="167">
        <v>233</v>
      </c>
      <c r="E127" s="168">
        <v>7</v>
      </c>
      <c r="F127" s="167">
        <v>9283</v>
      </c>
      <c r="G127" s="168">
        <v>7</v>
      </c>
      <c r="H127" s="148">
        <f t="shared" si="4"/>
        <v>0.58333333333333337</v>
      </c>
    </row>
    <row r="128" spans="2:8" outlineLevel="2" x14ac:dyDescent="0.25">
      <c r="B128" s="144" t="str">
        <f t="shared" si="7"/>
        <v>2018</v>
      </c>
      <c r="C128" s="145" t="s">
        <v>84</v>
      </c>
      <c r="D128" s="167">
        <v>88</v>
      </c>
      <c r="E128" s="168">
        <v>53</v>
      </c>
      <c r="F128" s="167">
        <v>3628</v>
      </c>
      <c r="G128" s="168">
        <v>3</v>
      </c>
      <c r="H128" s="148">
        <f t="shared" si="4"/>
        <v>4.416666666666667</v>
      </c>
    </row>
    <row r="129" spans="2:8" outlineLevel="2" x14ac:dyDescent="0.25">
      <c r="B129" s="144" t="str">
        <f t="shared" si="7"/>
        <v>2018</v>
      </c>
      <c r="C129" s="145" t="s">
        <v>85</v>
      </c>
      <c r="D129" s="167">
        <v>9553</v>
      </c>
      <c r="E129" s="168">
        <v>3624</v>
      </c>
      <c r="F129" s="167">
        <v>208</v>
      </c>
      <c r="G129" s="168">
        <v>206</v>
      </c>
      <c r="H129" s="148">
        <f t="shared" si="4"/>
        <v>302</v>
      </c>
    </row>
    <row r="130" spans="2:8" outlineLevel="2" x14ac:dyDescent="0.25">
      <c r="B130" s="144" t="str">
        <f t="shared" si="7"/>
        <v>2018</v>
      </c>
      <c r="C130" s="145" t="s">
        <v>86</v>
      </c>
      <c r="D130" s="167">
        <v>12913</v>
      </c>
      <c r="E130" s="168">
        <v>1113</v>
      </c>
      <c r="F130" s="167">
        <v>756</v>
      </c>
      <c r="G130" s="168">
        <v>0</v>
      </c>
      <c r="H130" s="148">
        <f t="shared" si="4"/>
        <v>92.75</v>
      </c>
    </row>
    <row r="131" spans="2:8" outlineLevel="2" x14ac:dyDescent="0.25">
      <c r="B131" s="144" t="str">
        <f t="shared" si="7"/>
        <v>2018</v>
      </c>
      <c r="C131" s="145" t="s">
        <v>87</v>
      </c>
      <c r="D131" s="167">
        <v>6473</v>
      </c>
      <c r="E131" s="168">
        <v>468</v>
      </c>
      <c r="F131" s="167">
        <v>7397</v>
      </c>
      <c r="G131" s="168">
        <v>0</v>
      </c>
      <c r="H131" s="148">
        <f t="shared" si="4"/>
        <v>39</v>
      </c>
    </row>
    <row r="132" spans="2:8" outlineLevel="2" x14ac:dyDescent="0.25">
      <c r="B132" s="144" t="str">
        <f t="shared" si="7"/>
        <v>2018</v>
      </c>
      <c r="C132" s="145" t="s">
        <v>88</v>
      </c>
      <c r="D132" s="167">
        <v>10761</v>
      </c>
      <c r="E132" s="168">
        <v>403</v>
      </c>
      <c r="F132" s="167">
        <v>415</v>
      </c>
      <c r="G132" s="168">
        <v>0</v>
      </c>
      <c r="H132" s="148">
        <f t="shared" si="4"/>
        <v>33.583333333333336</v>
      </c>
    </row>
    <row r="133" spans="2:8" outlineLevel="2" x14ac:dyDescent="0.25">
      <c r="B133" s="144" t="str">
        <f t="shared" si="7"/>
        <v>2018</v>
      </c>
      <c r="C133" s="145" t="s">
        <v>89</v>
      </c>
      <c r="D133" s="167">
        <v>3762</v>
      </c>
      <c r="E133" s="168">
        <v>754</v>
      </c>
      <c r="F133" s="167">
        <v>95</v>
      </c>
      <c r="G133" s="168">
        <v>2</v>
      </c>
      <c r="H133" s="148">
        <f t="shared" si="4"/>
        <v>62.833333333333336</v>
      </c>
    </row>
    <row r="134" spans="2:8" ht="15.75" outlineLevel="2" thickBot="1" x14ac:dyDescent="0.3">
      <c r="B134" s="164" t="str">
        <f t="shared" si="7"/>
        <v>2018</v>
      </c>
      <c r="C134" s="149" t="s">
        <v>90</v>
      </c>
      <c r="D134" s="169">
        <v>4315</v>
      </c>
      <c r="E134" s="170">
        <v>328</v>
      </c>
      <c r="F134" s="169">
        <v>169</v>
      </c>
      <c r="G134" s="170">
        <v>0</v>
      </c>
      <c r="H134" s="152">
        <f t="shared" si="4"/>
        <v>27.333333333333332</v>
      </c>
    </row>
    <row r="135" spans="2:8" ht="15.75" outlineLevel="2" thickBot="1" x14ac:dyDescent="0.3">
      <c r="B135" s="153" t="str">
        <f>CONCATENATE("Total ", LEFT(CRCP_y1,4))</f>
        <v>Total 2018</v>
      </c>
      <c r="C135" s="154"/>
      <c r="D135" s="155">
        <f>+SUM(D123:D134)</f>
        <v>48615</v>
      </c>
      <c r="E135" s="156">
        <f>+SUM(E123:E134)</f>
        <v>6953</v>
      </c>
      <c r="F135" s="155">
        <f>+SUM(F123:F134)</f>
        <v>43594</v>
      </c>
      <c r="G135" s="156">
        <f>+SUM(G123:G134)</f>
        <v>267</v>
      </c>
      <c r="H135" s="157">
        <f>+SUM(H123:H134)</f>
        <v>579.41666666666674</v>
      </c>
    </row>
    <row r="136" spans="2:8" outlineLevel="2" x14ac:dyDescent="0.25">
      <c r="B136" s="139" t="str">
        <f t="shared" ref="B136:B147" si="8">LEFT(CRCP_y2,4)</f>
        <v>2019</v>
      </c>
      <c r="C136" s="140" t="s">
        <v>79</v>
      </c>
      <c r="D136" s="165">
        <v>828</v>
      </c>
      <c r="E136" s="166">
        <v>17</v>
      </c>
      <c r="F136" s="165">
        <v>514</v>
      </c>
      <c r="G136" s="166">
        <v>0</v>
      </c>
      <c r="H136" s="143">
        <f t="shared" si="4"/>
        <v>1.4166666666666667</v>
      </c>
    </row>
    <row r="137" spans="2:8" outlineLevel="2" x14ac:dyDescent="0.25">
      <c r="B137" s="144" t="str">
        <f t="shared" si="8"/>
        <v>2019</v>
      </c>
      <c r="C137" s="145" t="s">
        <v>80</v>
      </c>
      <c r="D137" s="167">
        <v>624</v>
      </c>
      <c r="E137" s="168">
        <v>14</v>
      </c>
      <c r="F137" s="167">
        <v>0</v>
      </c>
      <c r="G137" s="168">
        <v>0</v>
      </c>
      <c r="H137" s="148">
        <f t="shared" si="4"/>
        <v>1.1666666666666667</v>
      </c>
    </row>
    <row r="138" spans="2:8" outlineLevel="2" x14ac:dyDescent="0.25">
      <c r="B138" s="144" t="str">
        <f t="shared" si="8"/>
        <v>2019</v>
      </c>
      <c r="C138" s="145" t="s">
        <v>81</v>
      </c>
      <c r="D138" s="167">
        <v>2096</v>
      </c>
      <c r="E138" s="168">
        <v>356</v>
      </c>
      <c r="F138" s="167">
        <v>3</v>
      </c>
      <c r="G138" s="168">
        <v>3</v>
      </c>
      <c r="H138" s="148">
        <f t="shared" si="4"/>
        <v>29.666666666666668</v>
      </c>
    </row>
    <row r="139" spans="2:8" outlineLevel="2" x14ac:dyDescent="0.25">
      <c r="B139" s="144" t="str">
        <f t="shared" si="8"/>
        <v>2019</v>
      </c>
      <c r="C139" s="145" t="s">
        <v>82</v>
      </c>
      <c r="D139" s="167">
        <v>2497</v>
      </c>
      <c r="E139" s="168">
        <v>140.5</v>
      </c>
      <c r="F139" s="167">
        <v>140</v>
      </c>
      <c r="G139" s="168">
        <v>27</v>
      </c>
      <c r="H139" s="148">
        <f t="shared" si="4"/>
        <v>11.708333333333334</v>
      </c>
    </row>
    <row r="140" spans="2:8" outlineLevel="2" x14ac:dyDescent="0.25">
      <c r="B140" s="144" t="str">
        <f t="shared" si="8"/>
        <v>2019</v>
      </c>
      <c r="C140" s="145" t="s">
        <v>83</v>
      </c>
      <c r="D140" s="167">
        <v>4031</v>
      </c>
      <c r="E140" s="168">
        <v>914</v>
      </c>
      <c r="F140" s="167">
        <v>144</v>
      </c>
      <c r="G140" s="168">
        <v>51</v>
      </c>
      <c r="H140" s="148">
        <f t="shared" si="4"/>
        <v>76.166666666666671</v>
      </c>
    </row>
    <row r="141" spans="2:8" outlineLevel="2" x14ac:dyDescent="0.25">
      <c r="B141" s="144" t="str">
        <f t="shared" si="8"/>
        <v>2019</v>
      </c>
      <c r="C141" s="145" t="s">
        <v>84</v>
      </c>
      <c r="D141" s="167">
        <v>2639</v>
      </c>
      <c r="E141" s="168">
        <v>543</v>
      </c>
      <c r="F141" s="167">
        <v>31</v>
      </c>
      <c r="G141" s="168">
        <v>0</v>
      </c>
      <c r="H141" s="148">
        <f t="shared" si="4"/>
        <v>45.25</v>
      </c>
    </row>
    <row r="142" spans="2:8" outlineLevel="2" x14ac:dyDescent="0.25">
      <c r="B142" s="144" t="str">
        <f t="shared" si="8"/>
        <v>2019</v>
      </c>
      <c r="C142" s="145" t="s">
        <v>85</v>
      </c>
      <c r="D142" s="167">
        <v>4800</v>
      </c>
      <c r="E142" s="168">
        <v>621</v>
      </c>
      <c r="F142" s="167">
        <v>320</v>
      </c>
      <c r="G142" s="168">
        <v>0</v>
      </c>
      <c r="H142" s="148">
        <f t="shared" si="4"/>
        <v>51.75</v>
      </c>
    </row>
    <row r="143" spans="2:8" outlineLevel="2" x14ac:dyDescent="0.25">
      <c r="B143" s="144" t="str">
        <f t="shared" si="8"/>
        <v>2019</v>
      </c>
      <c r="C143" s="145" t="s">
        <v>86</v>
      </c>
      <c r="D143" s="167">
        <v>5105</v>
      </c>
      <c r="E143" s="168">
        <v>1161</v>
      </c>
      <c r="F143" s="167">
        <v>0</v>
      </c>
      <c r="G143" s="168">
        <v>0</v>
      </c>
      <c r="H143" s="148">
        <f t="shared" si="4"/>
        <v>96.75</v>
      </c>
    </row>
    <row r="144" spans="2:8" outlineLevel="2" x14ac:dyDescent="0.25">
      <c r="B144" s="144" t="str">
        <f t="shared" si="8"/>
        <v>2019</v>
      </c>
      <c r="C144" s="145" t="s">
        <v>87</v>
      </c>
      <c r="D144" s="167">
        <v>9320</v>
      </c>
      <c r="E144" s="168">
        <v>1528</v>
      </c>
      <c r="F144" s="167">
        <v>0</v>
      </c>
      <c r="G144" s="168">
        <v>0</v>
      </c>
      <c r="H144" s="148">
        <f t="shared" si="4"/>
        <v>127.33333333333333</v>
      </c>
    </row>
    <row r="145" spans="2:8" outlineLevel="2" x14ac:dyDescent="0.25">
      <c r="B145" s="144" t="str">
        <f t="shared" si="8"/>
        <v>2019</v>
      </c>
      <c r="C145" s="145" t="s">
        <v>88</v>
      </c>
      <c r="D145" s="167">
        <v>14353</v>
      </c>
      <c r="E145" s="168">
        <v>1944</v>
      </c>
      <c r="F145" s="167">
        <v>8</v>
      </c>
      <c r="G145" s="168">
        <v>0</v>
      </c>
      <c r="H145" s="148">
        <f t="shared" si="4"/>
        <v>162</v>
      </c>
    </row>
    <row r="146" spans="2:8" outlineLevel="2" x14ac:dyDescent="0.25">
      <c r="B146" s="144" t="str">
        <f t="shared" si="8"/>
        <v>2019</v>
      </c>
      <c r="C146" s="145" t="s">
        <v>89</v>
      </c>
      <c r="D146" s="167">
        <v>7226</v>
      </c>
      <c r="E146" s="168">
        <v>362</v>
      </c>
      <c r="F146" s="167">
        <v>529</v>
      </c>
      <c r="G146" s="168">
        <v>98</v>
      </c>
      <c r="H146" s="148">
        <f t="shared" si="4"/>
        <v>30.166666666666668</v>
      </c>
    </row>
    <row r="147" spans="2:8" ht="15.75" outlineLevel="2" thickBot="1" x14ac:dyDescent="0.3">
      <c r="B147" s="164" t="str">
        <f t="shared" si="8"/>
        <v>2019</v>
      </c>
      <c r="C147" s="149" t="s">
        <v>90</v>
      </c>
      <c r="D147" s="169">
        <v>4470</v>
      </c>
      <c r="E147" s="170">
        <v>76</v>
      </c>
      <c r="F147" s="169">
        <v>126</v>
      </c>
      <c r="G147" s="170">
        <v>0</v>
      </c>
      <c r="H147" s="152">
        <f t="shared" si="4"/>
        <v>6.333333333333333</v>
      </c>
    </row>
    <row r="148" spans="2:8" ht="15.75" outlineLevel="2" thickBot="1" x14ac:dyDescent="0.3">
      <c r="B148" s="171" t="str">
        <f>CONCATENATE("Total ", LEFT(CRCP_y2,4))</f>
        <v>Total 2019</v>
      </c>
      <c r="C148" s="154"/>
      <c r="D148" s="155">
        <f>+SUM(D136:D147)</f>
        <v>57989</v>
      </c>
      <c r="E148" s="156">
        <f>+SUM(E136:E147)</f>
        <v>7676.5</v>
      </c>
      <c r="F148" s="155">
        <f>+SUM(F136:F147)</f>
        <v>1815</v>
      </c>
      <c r="G148" s="156">
        <f>+SUM(G136:G147)</f>
        <v>179</v>
      </c>
      <c r="H148" s="157">
        <f>+SUM(H136:H147)</f>
        <v>639.70833333333326</v>
      </c>
    </row>
    <row r="149" spans="2:8" outlineLevel="2" x14ac:dyDescent="0.25">
      <c r="B149" s="139" t="str">
        <f t="shared" ref="B149:B160" si="9">LEFT(CRCP_y3,4)</f>
        <v>2020</v>
      </c>
      <c r="C149" s="140" t="s">
        <v>79</v>
      </c>
      <c r="D149" s="165">
        <v>7919</v>
      </c>
      <c r="E149" s="166">
        <v>92</v>
      </c>
      <c r="F149" s="165">
        <v>1506</v>
      </c>
      <c r="G149" s="166">
        <v>0</v>
      </c>
      <c r="H149" s="143">
        <f t="shared" si="4"/>
        <v>7.666666666666667</v>
      </c>
    </row>
    <row r="150" spans="2:8" outlineLevel="2" x14ac:dyDescent="0.25">
      <c r="B150" s="144" t="str">
        <f t="shared" si="9"/>
        <v>2020</v>
      </c>
      <c r="C150" s="145" t="s">
        <v>80</v>
      </c>
      <c r="D150" s="167">
        <v>10461</v>
      </c>
      <c r="E150" s="168">
        <v>4</v>
      </c>
      <c r="F150" s="167">
        <v>22013</v>
      </c>
      <c r="G150" s="168">
        <v>0</v>
      </c>
      <c r="H150" s="148">
        <f t="shared" ref="H150:H160" si="10">+E150/12</f>
        <v>0.33333333333333331</v>
      </c>
    </row>
    <row r="151" spans="2:8" outlineLevel="2" x14ac:dyDescent="0.25">
      <c r="B151" s="144" t="str">
        <f t="shared" si="9"/>
        <v>2020</v>
      </c>
      <c r="C151" s="145" t="s">
        <v>81</v>
      </c>
      <c r="D151" s="167">
        <v>9545</v>
      </c>
      <c r="E151" s="168">
        <v>112</v>
      </c>
      <c r="F151" s="167">
        <v>530</v>
      </c>
      <c r="G151" s="168">
        <v>0</v>
      </c>
      <c r="H151" s="148">
        <f t="shared" si="10"/>
        <v>9.3333333333333339</v>
      </c>
    </row>
    <row r="152" spans="2:8" outlineLevel="2" x14ac:dyDescent="0.25">
      <c r="B152" s="144" t="str">
        <f t="shared" si="9"/>
        <v>2020</v>
      </c>
      <c r="C152" s="145" t="s">
        <v>82</v>
      </c>
      <c r="D152" s="167">
        <v>5459</v>
      </c>
      <c r="E152" s="168">
        <v>16</v>
      </c>
      <c r="F152" s="167">
        <v>0</v>
      </c>
      <c r="G152" s="168">
        <v>0</v>
      </c>
      <c r="H152" s="148">
        <f t="shared" si="10"/>
        <v>1.3333333333333333</v>
      </c>
    </row>
    <row r="153" spans="2:8" outlineLevel="2" x14ac:dyDescent="0.25">
      <c r="B153" s="144" t="str">
        <f t="shared" si="9"/>
        <v>2020</v>
      </c>
      <c r="C153" s="145" t="s">
        <v>83</v>
      </c>
      <c r="D153" s="167">
        <v>5610</v>
      </c>
      <c r="E153" s="168">
        <v>733</v>
      </c>
      <c r="F153" s="167">
        <v>0</v>
      </c>
      <c r="G153" s="168">
        <v>0</v>
      </c>
      <c r="H153" s="148">
        <f t="shared" si="10"/>
        <v>61.083333333333336</v>
      </c>
    </row>
    <row r="154" spans="2:8" outlineLevel="2" x14ac:dyDescent="0.25">
      <c r="B154" s="144" t="str">
        <f t="shared" si="9"/>
        <v>2020</v>
      </c>
      <c r="C154" s="145" t="s">
        <v>84</v>
      </c>
      <c r="D154" s="167">
        <v>3531</v>
      </c>
      <c r="E154" s="168">
        <v>174</v>
      </c>
      <c r="F154" s="167">
        <v>0</v>
      </c>
      <c r="G154" s="168">
        <v>0</v>
      </c>
      <c r="H154" s="148">
        <f t="shared" si="10"/>
        <v>14.5</v>
      </c>
    </row>
    <row r="155" spans="2:8" outlineLevel="2" x14ac:dyDescent="0.25">
      <c r="B155" s="144" t="str">
        <f t="shared" si="9"/>
        <v>2020</v>
      </c>
      <c r="C155" s="145" t="s">
        <v>85</v>
      </c>
      <c r="D155" s="167">
        <v>2165</v>
      </c>
      <c r="E155" s="168">
        <v>121</v>
      </c>
      <c r="F155" s="167">
        <v>156</v>
      </c>
      <c r="G155" s="168">
        <v>156</v>
      </c>
      <c r="H155" s="148">
        <f t="shared" si="10"/>
        <v>10.083333333333334</v>
      </c>
    </row>
    <row r="156" spans="2:8" outlineLevel="2" x14ac:dyDescent="0.25">
      <c r="B156" s="144" t="str">
        <f t="shared" si="9"/>
        <v>2020</v>
      </c>
      <c r="C156" s="145" t="s">
        <v>86</v>
      </c>
      <c r="D156" s="167">
        <v>6726</v>
      </c>
      <c r="E156" s="168">
        <v>428</v>
      </c>
      <c r="F156" s="167">
        <v>783</v>
      </c>
      <c r="G156" s="168">
        <v>783</v>
      </c>
      <c r="H156" s="148">
        <f t="shared" si="10"/>
        <v>35.666666666666664</v>
      </c>
    </row>
    <row r="157" spans="2:8" outlineLevel="2" x14ac:dyDescent="0.25">
      <c r="B157" s="144" t="str">
        <f t="shared" si="9"/>
        <v>2020</v>
      </c>
      <c r="C157" s="145" t="s">
        <v>87</v>
      </c>
      <c r="D157" s="167">
        <v>11630</v>
      </c>
      <c r="E157" s="168">
        <v>593</v>
      </c>
      <c r="F157" s="167">
        <v>1152</v>
      </c>
      <c r="G157" s="168">
        <v>1152</v>
      </c>
      <c r="H157" s="148">
        <f t="shared" si="10"/>
        <v>49.416666666666664</v>
      </c>
    </row>
    <row r="158" spans="2:8" outlineLevel="2" x14ac:dyDescent="0.25">
      <c r="B158" s="144" t="str">
        <f t="shared" si="9"/>
        <v>2020</v>
      </c>
      <c r="C158" s="145" t="s">
        <v>88</v>
      </c>
      <c r="D158" s="167">
        <v>15803</v>
      </c>
      <c r="E158" s="168">
        <v>306</v>
      </c>
      <c r="F158" s="167">
        <v>762</v>
      </c>
      <c r="G158" s="168">
        <v>762</v>
      </c>
      <c r="H158" s="148">
        <f t="shared" si="10"/>
        <v>25.5</v>
      </c>
    </row>
    <row r="159" spans="2:8" outlineLevel="2" x14ac:dyDescent="0.25">
      <c r="B159" s="144" t="str">
        <f t="shared" si="9"/>
        <v>2020</v>
      </c>
      <c r="C159" s="145" t="s">
        <v>89</v>
      </c>
      <c r="D159" s="167">
        <v>15653</v>
      </c>
      <c r="E159" s="168">
        <v>142</v>
      </c>
      <c r="F159" s="167">
        <v>601</v>
      </c>
      <c r="G159" s="168">
        <v>601</v>
      </c>
      <c r="H159" s="148">
        <f t="shared" si="10"/>
        <v>11.833333333333334</v>
      </c>
    </row>
    <row r="160" spans="2:8" ht="15.75" outlineLevel="2" thickBot="1" x14ac:dyDescent="0.3">
      <c r="B160" s="164" t="str">
        <f t="shared" si="9"/>
        <v>2020</v>
      </c>
      <c r="C160" s="149" t="s">
        <v>90</v>
      </c>
      <c r="D160" s="169">
        <v>15758</v>
      </c>
      <c r="E160" s="170">
        <v>441</v>
      </c>
      <c r="F160" s="169">
        <v>609</v>
      </c>
      <c r="G160" s="170">
        <v>609</v>
      </c>
      <c r="H160" s="152">
        <f t="shared" si="10"/>
        <v>36.75</v>
      </c>
    </row>
    <row r="161" spans="2:10" ht="15.75" outlineLevel="2" thickBot="1" x14ac:dyDescent="0.3">
      <c r="B161" s="171" t="str">
        <f>CONCATENATE("Total ", LEFT(CRCP_y3,4))</f>
        <v>Total 2020</v>
      </c>
      <c r="C161" s="154"/>
      <c r="D161" s="155">
        <f>+SUM(D149:D160)</f>
        <v>110260</v>
      </c>
      <c r="E161" s="156">
        <f>+SUM(E149:E160)</f>
        <v>3162</v>
      </c>
      <c r="F161" s="155">
        <f>+SUM(F149:F160)</f>
        <v>28112</v>
      </c>
      <c r="G161" s="156">
        <f>+SUM(G149:G160)</f>
        <v>4063</v>
      </c>
      <c r="H161" s="157">
        <f>+SUM(H149:H160)</f>
        <v>263.5</v>
      </c>
    </row>
    <row r="162" spans="2:10" outlineLevel="2" x14ac:dyDescent="0.25">
      <c r="B162" s="139" t="str">
        <f t="shared" ref="B162:B173" si="11">LEFT(CRCP_y4,4)</f>
        <v>2021</v>
      </c>
      <c r="C162" s="140" t="s">
        <v>79</v>
      </c>
      <c r="D162" s="165">
        <v>13837</v>
      </c>
      <c r="E162" s="166">
        <v>163</v>
      </c>
      <c r="F162" s="165">
        <v>652</v>
      </c>
      <c r="G162" s="166">
        <v>652</v>
      </c>
      <c r="H162" s="143">
        <f t="shared" ref="H162:H173" si="12">+E162/12</f>
        <v>13.583333333333334</v>
      </c>
    </row>
    <row r="163" spans="2:10" outlineLevel="2" x14ac:dyDescent="0.25">
      <c r="B163" s="144" t="str">
        <f t="shared" si="11"/>
        <v>2021</v>
      </c>
      <c r="C163" s="145" t="s">
        <v>80</v>
      </c>
      <c r="D163" s="167">
        <v>12086</v>
      </c>
      <c r="E163" s="168">
        <v>0</v>
      </c>
      <c r="F163" s="167">
        <v>321</v>
      </c>
      <c r="G163" s="168">
        <v>321</v>
      </c>
      <c r="H163" s="148">
        <f t="shared" si="12"/>
        <v>0</v>
      </c>
    </row>
    <row r="164" spans="2:10" outlineLevel="2" x14ac:dyDescent="0.25">
      <c r="B164" s="144" t="str">
        <f t="shared" si="11"/>
        <v>2021</v>
      </c>
      <c r="C164" s="145" t="s">
        <v>81</v>
      </c>
      <c r="D164" s="167">
        <v>19631</v>
      </c>
      <c r="E164" s="168">
        <v>532</v>
      </c>
      <c r="F164" s="167">
        <v>456</v>
      </c>
      <c r="G164" s="168">
        <v>283</v>
      </c>
      <c r="H164" s="148">
        <f t="shared" si="12"/>
        <v>44.333333333333336</v>
      </c>
    </row>
    <row r="165" spans="2:10" outlineLevel="2" x14ac:dyDescent="0.25">
      <c r="B165" s="144" t="str">
        <f t="shared" si="11"/>
        <v>2021</v>
      </c>
      <c r="C165" s="145" t="s">
        <v>82</v>
      </c>
      <c r="D165" s="167">
        <v>14775</v>
      </c>
      <c r="E165" s="168">
        <v>134</v>
      </c>
      <c r="F165" s="167">
        <v>140</v>
      </c>
      <c r="G165" s="168">
        <v>139</v>
      </c>
      <c r="H165" s="148">
        <f t="shared" si="12"/>
        <v>11.166666666666666</v>
      </c>
    </row>
    <row r="166" spans="2:10" outlineLevel="2" x14ac:dyDescent="0.25">
      <c r="B166" s="144" t="str">
        <f t="shared" si="11"/>
        <v>2021</v>
      </c>
      <c r="C166" s="145" t="s">
        <v>83</v>
      </c>
      <c r="D166" s="167">
        <v>10375</v>
      </c>
      <c r="E166" s="168">
        <v>2237</v>
      </c>
      <c r="F166" s="167">
        <v>156</v>
      </c>
      <c r="G166" s="168">
        <v>156</v>
      </c>
      <c r="H166" s="148">
        <f t="shared" si="12"/>
        <v>186.41666666666666</v>
      </c>
    </row>
    <row r="167" spans="2:10" outlineLevel="2" x14ac:dyDescent="0.25">
      <c r="B167" s="144" t="str">
        <f t="shared" si="11"/>
        <v>2021</v>
      </c>
      <c r="C167" s="145" t="s">
        <v>84</v>
      </c>
      <c r="D167" s="167">
        <v>8187</v>
      </c>
      <c r="E167" s="168">
        <v>989</v>
      </c>
      <c r="F167" s="167">
        <v>280</v>
      </c>
      <c r="G167" s="168">
        <v>257</v>
      </c>
      <c r="H167" s="148">
        <f t="shared" si="12"/>
        <v>82.416666666666671</v>
      </c>
    </row>
    <row r="168" spans="2:10" outlineLevel="2" x14ac:dyDescent="0.25">
      <c r="B168" s="144" t="str">
        <f t="shared" si="11"/>
        <v>2021</v>
      </c>
      <c r="C168" s="145" t="s">
        <v>85</v>
      </c>
      <c r="D168" s="167">
        <v>17049</v>
      </c>
      <c r="E168" s="168">
        <v>547</v>
      </c>
      <c r="F168" s="167">
        <v>225</v>
      </c>
      <c r="G168" s="168">
        <v>225</v>
      </c>
      <c r="H168" s="148">
        <f t="shared" si="12"/>
        <v>45.583333333333336</v>
      </c>
    </row>
    <row r="169" spans="2:10" outlineLevel="2" x14ac:dyDescent="0.25">
      <c r="B169" s="144" t="str">
        <f t="shared" si="11"/>
        <v>2021</v>
      </c>
      <c r="C169" s="145" t="s">
        <v>86</v>
      </c>
      <c r="D169" s="167">
        <v>14133</v>
      </c>
      <c r="E169" s="168">
        <v>702</v>
      </c>
      <c r="F169" s="167">
        <v>355</v>
      </c>
      <c r="G169" s="168">
        <v>355</v>
      </c>
      <c r="H169" s="148">
        <f t="shared" si="12"/>
        <v>58.5</v>
      </c>
    </row>
    <row r="170" spans="2:10" outlineLevel="2" x14ac:dyDescent="0.25">
      <c r="B170" s="144" t="str">
        <f t="shared" si="11"/>
        <v>2021</v>
      </c>
      <c r="C170" s="145" t="s">
        <v>87</v>
      </c>
      <c r="D170" s="167">
        <v>22857</v>
      </c>
      <c r="E170" s="168">
        <v>697</v>
      </c>
      <c r="F170" s="167">
        <v>768</v>
      </c>
      <c r="G170" s="168">
        <v>753</v>
      </c>
      <c r="H170" s="148">
        <f t="shared" si="12"/>
        <v>58.083333333333336</v>
      </c>
    </row>
    <row r="171" spans="2:10" outlineLevel="2" x14ac:dyDescent="0.25">
      <c r="B171" s="144" t="str">
        <f t="shared" si="11"/>
        <v>2021</v>
      </c>
      <c r="C171" s="145" t="s">
        <v>88</v>
      </c>
      <c r="D171" s="167">
        <v>24446</v>
      </c>
      <c r="E171" s="168">
        <v>957</v>
      </c>
      <c r="F171" s="167">
        <v>1463</v>
      </c>
      <c r="G171" s="168">
        <v>1302</v>
      </c>
      <c r="H171" s="148">
        <f t="shared" si="12"/>
        <v>79.75</v>
      </c>
    </row>
    <row r="172" spans="2:10" outlineLevel="2" x14ac:dyDescent="0.25">
      <c r="B172" s="144" t="str">
        <f t="shared" si="11"/>
        <v>2021</v>
      </c>
      <c r="C172" s="145" t="s">
        <v>89</v>
      </c>
      <c r="D172" s="167">
        <v>24599</v>
      </c>
      <c r="E172" s="168">
        <v>1607</v>
      </c>
      <c r="F172" s="167">
        <v>1405</v>
      </c>
      <c r="G172" s="168">
        <v>928</v>
      </c>
      <c r="H172" s="148">
        <f t="shared" si="12"/>
        <v>133.91666666666666</v>
      </c>
    </row>
    <row r="173" spans="2:10" ht="15.75" outlineLevel="2" thickBot="1" x14ac:dyDescent="0.3">
      <c r="B173" s="164" t="str">
        <f t="shared" si="11"/>
        <v>2021</v>
      </c>
      <c r="C173" s="149" t="s">
        <v>90</v>
      </c>
      <c r="D173" s="169">
        <v>9740</v>
      </c>
      <c r="E173" s="170">
        <v>442</v>
      </c>
      <c r="F173" s="169">
        <v>2912</v>
      </c>
      <c r="G173" s="170">
        <v>140</v>
      </c>
      <c r="H173" s="152">
        <f t="shared" si="12"/>
        <v>36.833333333333336</v>
      </c>
    </row>
    <row r="174" spans="2:10" ht="15.75" outlineLevel="2" thickBot="1" x14ac:dyDescent="0.3">
      <c r="B174" s="171" t="str">
        <f>CONCATENATE("Total ", LEFT(CRCP_y4,4))</f>
        <v>Total 2021</v>
      </c>
      <c r="C174" s="154"/>
      <c r="D174" s="155">
        <f>+SUM(D162:D173)</f>
        <v>191715</v>
      </c>
      <c r="E174" s="156">
        <f>+SUM(E162:E173)</f>
        <v>9007</v>
      </c>
      <c r="F174" s="155">
        <f>+SUM(F162:F173)</f>
        <v>9133</v>
      </c>
      <c r="G174" s="156">
        <f>+SUM(G162:G173)</f>
        <v>5511</v>
      </c>
      <c r="H174" s="157">
        <f>+SUM(H162:H173)</f>
        <v>750.58333333333326</v>
      </c>
    </row>
    <row r="175" spans="2:10" ht="19.5" outlineLevel="2" thickBot="1" x14ac:dyDescent="0.3">
      <c r="B175" s="172" t="s">
        <v>91</v>
      </c>
      <c r="C175" s="172"/>
      <c r="D175" s="172"/>
      <c r="E175" s="172"/>
      <c r="F175" s="172"/>
      <c r="G175" s="172"/>
      <c r="H175" s="172"/>
      <c r="I175" s="172"/>
      <c r="J175" s="172"/>
    </row>
    <row r="176" spans="2:10" ht="15.75" thickBot="1" x14ac:dyDescent="0.3">
      <c r="B176" s="173"/>
      <c r="C176" s="173"/>
      <c r="D176" s="290" t="s">
        <v>71</v>
      </c>
      <c r="E176" s="291"/>
      <c r="F176" s="291"/>
      <c r="G176" s="292"/>
      <c r="H176" s="174"/>
      <c r="I176" s="174"/>
      <c r="J176" s="174"/>
    </row>
    <row r="177" spans="2:19" ht="30.75" thickBot="1" x14ac:dyDescent="0.3">
      <c r="B177" s="173"/>
      <c r="C177" s="173"/>
      <c r="D177" s="290" t="s">
        <v>72</v>
      </c>
      <c r="E177" s="291"/>
      <c r="F177" s="291" t="s">
        <v>73</v>
      </c>
      <c r="G177" s="292"/>
      <c r="H177" s="175" t="s">
        <v>23</v>
      </c>
      <c r="I177" s="175" t="s">
        <v>24</v>
      </c>
      <c r="J177" s="175" t="s">
        <v>25</v>
      </c>
    </row>
    <row r="178" spans="2:19" ht="30.75" thickBot="1" x14ac:dyDescent="0.3">
      <c r="B178" s="176" t="s">
        <v>74</v>
      </c>
      <c r="C178" s="177" t="s">
        <v>54</v>
      </c>
      <c r="D178" s="178" t="s">
        <v>76</v>
      </c>
      <c r="E178" s="179" t="s">
        <v>77</v>
      </c>
      <c r="F178" s="179" t="s">
        <v>76</v>
      </c>
      <c r="G178" s="180" t="s">
        <v>77</v>
      </c>
      <c r="H178" s="181" t="s">
        <v>29</v>
      </c>
      <c r="I178" s="181" t="s">
        <v>30</v>
      </c>
      <c r="J178" s="181" t="s">
        <v>92</v>
      </c>
      <c r="L178" s="182">
        <f>VLOOKUP($B181,$B$71:$H$174,E$180,FALSE)</f>
        <v>87</v>
      </c>
      <c r="M178" s="182">
        <f>VLOOKUP($B182,$B$71:$H$174,E$180,FALSE)</f>
        <v>10004</v>
      </c>
      <c r="N178" s="182">
        <f>VLOOKUP($B183,$B$71:$H$174,E$180,FALSE)</f>
        <v>11098.5</v>
      </c>
      <c r="O178" s="182">
        <f>VLOOKUP($B184,$B$71:$H$1175,E$180,FALSE)</f>
        <v>2090</v>
      </c>
      <c r="P178" s="182">
        <f>VLOOKUP($B185,$B$71:$H$174,E$180,FALSE)</f>
        <v>6953</v>
      </c>
      <c r="Q178" s="182">
        <f>VLOOKUP($B186,$B$71:$H$174,E$180,FALSE)</f>
        <v>7676.5</v>
      </c>
      <c r="R178" s="182">
        <f>VLOOKUP($B187,$B$71:$H$174,E$180,FALSE)</f>
        <v>3162</v>
      </c>
      <c r="S178" s="182">
        <f>VLOOKUP($B188,$B$71:$H$174,E$180,FALSE)</f>
        <v>9007</v>
      </c>
    </row>
    <row r="179" spans="2:19" x14ac:dyDescent="0.25">
      <c r="B179" s="183"/>
      <c r="C179" s="184"/>
      <c r="D179" s="185"/>
      <c r="E179" s="185" t="s">
        <v>35</v>
      </c>
      <c r="F179" s="185"/>
      <c r="G179" s="185" t="s">
        <v>36</v>
      </c>
      <c r="H179" s="185" t="s">
        <v>37</v>
      </c>
      <c r="I179" s="185" t="s">
        <v>38</v>
      </c>
      <c r="J179" s="186"/>
      <c r="L179" s="182">
        <f>VLOOKUP($B181,$B$71:$H$174,G$180,FALSE)</f>
        <v>9</v>
      </c>
      <c r="M179" s="182">
        <f>VLOOKUP($B182,$B$71:$H$174,G$180,FALSE)</f>
        <v>793</v>
      </c>
      <c r="N179" s="182">
        <f>VLOOKUP($B183,$B$71:$H$174,G$180,FALSE)</f>
        <v>586</v>
      </c>
      <c r="O179" s="182">
        <f>VLOOKUP($B184,$B$71:$H$174,G$180,FALSE)</f>
        <v>238</v>
      </c>
      <c r="P179" s="182">
        <f>VLOOKUP($B185,$B$71:$H$174,G$180,FALSE)</f>
        <v>267</v>
      </c>
      <c r="Q179" s="182">
        <f>VLOOKUP($B186,$B$71:$H$174,G$180,FALSE)</f>
        <v>179</v>
      </c>
      <c r="R179" s="182">
        <f>VLOOKUP($B187,$B$71:$H$174,G$180,FALSE)</f>
        <v>4063</v>
      </c>
      <c r="S179" s="182">
        <f>VLOOKUP($B188,$B$71:$H$174,G$180,FALSE)</f>
        <v>5511</v>
      </c>
    </row>
    <row r="180" spans="2:19" x14ac:dyDescent="0.25">
      <c r="B180" s="187"/>
      <c r="C180" s="188"/>
      <c r="D180" s="189">
        <v>3</v>
      </c>
      <c r="E180" s="189">
        <v>4</v>
      </c>
      <c r="F180" s="189">
        <v>5</v>
      </c>
      <c r="G180" s="189">
        <v>6</v>
      </c>
      <c r="H180" s="190"/>
      <c r="I180" s="190"/>
      <c r="J180" s="191"/>
      <c r="L180" s="192">
        <f t="shared" ref="L180:S181" si="13">L177+L179</f>
        <v>9</v>
      </c>
      <c r="M180" s="192">
        <f t="shared" si="13"/>
        <v>793</v>
      </c>
      <c r="N180" s="192">
        <f t="shared" si="13"/>
        <v>586</v>
      </c>
      <c r="O180" s="192">
        <f t="shared" si="13"/>
        <v>238</v>
      </c>
      <c r="P180" s="192">
        <f t="shared" si="13"/>
        <v>267</v>
      </c>
      <c r="Q180" s="192">
        <f t="shared" si="13"/>
        <v>179</v>
      </c>
      <c r="R180" s="192">
        <f t="shared" si="13"/>
        <v>4063</v>
      </c>
      <c r="S180" s="192">
        <f t="shared" si="13"/>
        <v>5511</v>
      </c>
    </row>
    <row r="181" spans="2:19" x14ac:dyDescent="0.25">
      <c r="B181" s="193" t="s">
        <v>93</v>
      </c>
      <c r="C181" s="194"/>
      <c r="D181" s="195">
        <f>VLOOKUP($B181,$B$71:$H$174,D$180,FALSE)</f>
        <v>2067</v>
      </c>
      <c r="E181" s="195">
        <f>VLOOKUP($B181,$B$71:$H$174,E$180,FALSE)</f>
        <v>87</v>
      </c>
      <c r="F181" s="195">
        <f>VLOOKUP($B181,$B$71:$H$174,F$180,FALSE)</f>
        <v>1001</v>
      </c>
      <c r="G181" s="195">
        <f>VLOOKUP($B181,$B$71:$H$174,G$180,FALSE)</f>
        <v>9</v>
      </c>
      <c r="H181" s="196">
        <f>E181+G181</f>
        <v>96</v>
      </c>
      <c r="I181" s="196">
        <f t="shared" ref="I181:I188" si="14">MIN(G181,0.17*$H$192)</f>
        <v>9</v>
      </c>
      <c r="J181" s="196">
        <f>E181+I181</f>
        <v>96</v>
      </c>
      <c r="L181" s="192">
        <f t="shared" si="13"/>
        <v>96</v>
      </c>
      <c r="M181" s="192">
        <f t="shared" si="13"/>
        <v>10797</v>
      </c>
      <c r="N181" s="192">
        <f t="shared" si="13"/>
        <v>11684.5</v>
      </c>
      <c r="O181" s="192">
        <f t="shared" si="13"/>
        <v>2328</v>
      </c>
      <c r="P181" s="192">
        <f t="shared" si="13"/>
        <v>7220</v>
      </c>
      <c r="Q181" s="192">
        <f t="shared" si="13"/>
        <v>7855.5</v>
      </c>
      <c r="R181" s="192">
        <f t="shared" si="13"/>
        <v>7225</v>
      </c>
      <c r="S181" s="192">
        <f t="shared" si="13"/>
        <v>14518</v>
      </c>
    </row>
    <row r="182" spans="2:19" x14ac:dyDescent="0.25">
      <c r="B182" s="193" t="s">
        <v>94</v>
      </c>
      <c r="C182" s="194"/>
      <c r="D182" s="195">
        <f t="shared" ref="D182:G188" si="15">VLOOKUP($B182,$B$71:$H$174,D$180,FALSE)</f>
        <v>30713</v>
      </c>
      <c r="E182" s="195">
        <f t="shared" si="15"/>
        <v>10004</v>
      </c>
      <c r="F182" s="195">
        <f t="shared" si="15"/>
        <v>2687</v>
      </c>
      <c r="G182" s="195">
        <f t="shared" si="15"/>
        <v>793</v>
      </c>
      <c r="H182" s="196">
        <f t="shared" ref="H182:H188" si="16">E182+G182</f>
        <v>10797</v>
      </c>
      <c r="I182" s="196">
        <f t="shared" si="14"/>
        <v>793</v>
      </c>
      <c r="J182" s="196">
        <f t="shared" ref="J182:J188" si="17">E182+I182</f>
        <v>10797</v>
      </c>
      <c r="L182" s="197" t="str">
        <f>IF(H181=L$181,"ok","Checked")</f>
        <v>ok</v>
      </c>
      <c r="M182" s="197" t="str">
        <f>IF(H182=M$181,"ok","Checked")</f>
        <v>ok</v>
      </c>
      <c r="N182" s="197" t="str">
        <f>IF(H183=N$181,"ok","Checked")</f>
        <v>ok</v>
      </c>
      <c r="O182" s="197" t="str">
        <f>IF(H184=O$181,"ok","Checked")</f>
        <v>ok</v>
      </c>
      <c r="P182" s="197" t="str">
        <f>IF(H185=P$181,"ok","Checked")</f>
        <v>ok</v>
      </c>
      <c r="Q182" s="197" t="str">
        <f>IF(H186=Q$181,"ok","Checked")</f>
        <v>ok</v>
      </c>
      <c r="R182" s="197" t="str">
        <f>IF(H187=R$181,"ok","Checked")</f>
        <v>ok</v>
      </c>
      <c r="S182" s="197" t="str">
        <f>IF(H188=S$181,"ok","Checked")</f>
        <v>ok</v>
      </c>
    </row>
    <row r="183" spans="2:19" x14ac:dyDescent="0.25">
      <c r="B183" s="193" t="s">
        <v>95</v>
      </c>
      <c r="C183" s="194"/>
      <c r="D183" s="195">
        <f t="shared" si="15"/>
        <v>43315.5</v>
      </c>
      <c r="E183" s="195">
        <f t="shared" si="15"/>
        <v>11098.5</v>
      </c>
      <c r="F183" s="195">
        <f t="shared" si="15"/>
        <v>12981</v>
      </c>
      <c r="G183" s="195">
        <f t="shared" si="15"/>
        <v>586</v>
      </c>
      <c r="H183" s="196">
        <f t="shared" si="16"/>
        <v>11684.5</v>
      </c>
      <c r="I183" s="196">
        <f t="shared" si="14"/>
        <v>586</v>
      </c>
      <c r="J183" s="196">
        <f t="shared" si="17"/>
        <v>11684.5</v>
      </c>
    </row>
    <row r="184" spans="2:19" x14ac:dyDescent="0.25">
      <c r="B184" s="193" t="s">
        <v>96</v>
      </c>
      <c r="C184" s="194"/>
      <c r="D184" s="195">
        <f t="shared" si="15"/>
        <v>27014</v>
      </c>
      <c r="E184" s="195">
        <f t="shared" si="15"/>
        <v>2090</v>
      </c>
      <c r="F184" s="195">
        <f t="shared" si="15"/>
        <v>1456</v>
      </c>
      <c r="G184" s="195">
        <f t="shared" si="15"/>
        <v>238</v>
      </c>
      <c r="H184" s="196">
        <f t="shared" si="16"/>
        <v>2328</v>
      </c>
      <c r="I184" s="196">
        <f t="shared" si="14"/>
        <v>238</v>
      </c>
      <c r="J184" s="196">
        <f t="shared" si="17"/>
        <v>2328</v>
      </c>
    </row>
    <row r="185" spans="2:19" x14ac:dyDescent="0.25">
      <c r="B185" s="193" t="s">
        <v>97</v>
      </c>
      <c r="C185" s="198">
        <v>4208</v>
      </c>
      <c r="D185" s="195">
        <f t="shared" si="15"/>
        <v>48615</v>
      </c>
      <c r="E185" s="195">
        <f t="shared" si="15"/>
        <v>6953</v>
      </c>
      <c r="F185" s="195">
        <f t="shared" si="15"/>
        <v>43594</v>
      </c>
      <c r="G185" s="195">
        <f t="shared" si="15"/>
        <v>267</v>
      </c>
      <c r="H185" s="196">
        <f t="shared" si="16"/>
        <v>7220</v>
      </c>
      <c r="I185" s="196">
        <f t="shared" si="14"/>
        <v>267</v>
      </c>
      <c r="J185" s="196">
        <f t="shared" si="17"/>
        <v>7220</v>
      </c>
    </row>
    <row r="186" spans="2:19" x14ac:dyDescent="0.25">
      <c r="B186" s="193" t="s">
        <v>98</v>
      </c>
      <c r="C186" s="198">
        <v>4208</v>
      </c>
      <c r="D186" s="195">
        <f t="shared" si="15"/>
        <v>57989</v>
      </c>
      <c r="E186" s="195">
        <f t="shared" si="15"/>
        <v>7676.5</v>
      </c>
      <c r="F186" s="195">
        <f t="shared" si="15"/>
        <v>1815</v>
      </c>
      <c r="G186" s="195">
        <f t="shared" si="15"/>
        <v>179</v>
      </c>
      <c r="H186" s="196">
        <f t="shared" si="16"/>
        <v>7855.5</v>
      </c>
      <c r="I186" s="196">
        <f t="shared" si="14"/>
        <v>179</v>
      </c>
      <c r="J186" s="196">
        <f t="shared" si="17"/>
        <v>7855.5</v>
      </c>
    </row>
    <row r="187" spans="2:19" x14ac:dyDescent="0.25">
      <c r="B187" s="193" t="s">
        <v>99</v>
      </c>
      <c r="C187" s="198">
        <v>4208</v>
      </c>
      <c r="D187" s="195">
        <f t="shared" si="15"/>
        <v>110260</v>
      </c>
      <c r="E187" s="195">
        <f t="shared" si="15"/>
        <v>3162</v>
      </c>
      <c r="F187" s="195">
        <f t="shared" si="15"/>
        <v>28112</v>
      </c>
      <c r="G187" s="195">
        <f t="shared" si="15"/>
        <v>4063</v>
      </c>
      <c r="H187" s="196">
        <f t="shared" si="16"/>
        <v>7225</v>
      </c>
      <c r="I187" s="196">
        <f t="shared" si="14"/>
        <v>1522.588</v>
      </c>
      <c r="J187" s="196">
        <f t="shared" si="17"/>
        <v>4684.5879999999997</v>
      </c>
    </row>
    <row r="188" spans="2:19" x14ac:dyDescent="0.25">
      <c r="B188" s="193" t="s">
        <v>100</v>
      </c>
      <c r="C188" s="198">
        <v>4208</v>
      </c>
      <c r="D188" s="195">
        <f t="shared" si="15"/>
        <v>191715</v>
      </c>
      <c r="E188" s="195">
        <f t="shared" si="15"/>
        <v>9007</v>
      </c>
      <c r="F188" s="195">
        <f t="shared" si="15"/>
        <v>9133</v>
      </c>
      <c r="G188" s="195">
        <f t="shared" si="15"/>
        <v>5511</v>
      </c>
      <c r="H188" s="196">
        <f t="shared" si="16"/>
        <v>14518</v>
      </c>
      <c r="I188" s="196">
        <f t="shared" si="14"/>
        <v>1522.588</v>
      </c>
      <c r="J188" s="196">
        <f t="shared" si="17"/>
        <v>10529.588</v>
      </c>
    </row>
    <row r="189" spans="2:19" x14ac:dyDescent="0.25">
      <c r="B189" s="199" t="s">
        <v>42</v>
      </c>
      <c r="C189" s="200"/>
      <c r="D189" s="182"/>
      <c r="E189" s="182"/>
      <c r="F189" s="182"/>
      <c r="G189" s="182"/>
      <c r="H189" s="182">
        <f>MAX(H182:H188)</f>
        <v>14518</v>
      </c>
      <c r="I189" s="182"/>
      <c r="J189" s="201">
        <f>MAX(J182:J188)</f>
        <v>11684.5</v>
      </c>
    </row>
    <row r="190" spans="2:19" x14ac:dyDescent="0.25">
      <c r="B190" s="202" t="s">
        <v>43</v>
      </c>
      <c r="C190" s="203"/>
      <c r="D190" s="204"/>
      <c r="E190" s="204"/>
      <c r="F190" s="204"/>
      <c r="G190" s="204"/>
      <c r="H190" s="204">
        <f>MIN(H182:H188)</f>
        <v>2328</v>
      </c>
      <c r="I190" s="204"/>
      <c r="J190" s="205">
        <f>MIN(J182:J188)</f>
        <v>2328</v>
      </c>
    </row>
    <row r="191" spans="2:19" ht="15.75" thickBot="1" x14ac:dyDescent="0.3">
      <c r="B191" s="171" t="s">
        <v>101</v>
      </c>
      <c r="C191" s="154"/>
      <c r="D191" s="206">
        <f>+SUM(D181:D187)</f>
        <v>319973.5</v>
      </c>
      <c r="E191" s="207">
        <f>+SUM(E181:E187)</f>
        <v>41071</v>
      </c>
      <c r="F191" s="206">
        <f>+SUM(F181:F187)</f>
        <v>91646</v>
      </c>
      <c r="G191" s="207">
        <f>+SUM(G181:G187)</f>
        <v>6135</v>
      </c>
      <c r="H191" s="207"/>
      <c r="I191" s="207"/>
      <c r="J191" s="207"/>
    </row>
    <row r="192" spans="2:19" ht="15.75" thickBot="1" x14ac:dyDescent="0.3">
      <c r="E192" s="208" t="s">
        <v>102</v>
      </c>
      <c r="G192" s="209" t="s">
        <v>103</v>
      </c>
      <c r="H192" s="210">
        <f>(SUM(H182:H188)-SUM(H189:H190))/5</f>
        <v>8956.4</v>
      </c>
    </row>
    <row r="193" spans="7:10" ht="15.75" thickBot="1" x14ac:dyDescent="0.3">
      <c r="G193" s="209" t="s">
        <v>104</v>
      </c>
      <c r="H193" s="210">
        <f>H192*0.17</f>
        <v>1522.588</v>
      </c>
    </row>
    <row r="194" spans="7:10" ht="15.75" thickBot="1" x14ac:dyDescent="0.3">
      <c r="H194" s="62" t="s">
        <v>25</v>
      </c>
      <c r="I194" s="211" t="s">
        <v>105</v>
      </c>
      <c r="J194" s="212">
        <f>(SUM(J182:J188)-SUM(J189:J190))/5</f>
        <v>8217.3352000000014</v>
      </c>
    </row>
    <row r="195" spans="7:10" x14ac:dyDescent="0.25">
      <c r="H195" s="62" t="s">
        <v>106</v>
      </c>
      <c r="J195" s="62">
        <v>341740000</v>
      </c>
    </row>
    <row r="196" spans="7:10" x14ac:dyDescent="0.25">
      <c r="H196" s="62" t="s">
        <v>107</v>
      </c>
      <c r="J196" s="62">
        <f>J195*0.01</f>
        <v>3417400</v>
      </c>
    </row>
    <row r="197" spans="7:10" x14ac:dyDescent="0.25">
      <c r="H197" s="62" t="s">
        <v>108</v>
      </c>
      <c r="J197" s="213">
        <f>J196/J194</f>
        <v>415.87691347920179</v>
      </c>
    </row>
  </sheetData>
  <mergeCells count="19">
    <mergeCell ref="B6:C6"/>
    <mergeCell ref="B9:B10"/>
    <mergeCell ref="C9:H9"/>
    <mergeCell ref="I9:I10"/>
    <mergeCell ref="J9:J10"/>
    <mergeCell ref="L9:L10"/>
    <mergeCell ref="M9:M10"/>
    <mergeCell ref="B30:B31"/>
    <mergeCell ref="C30:C31"/>
    <mergeCell ref="D30:D31"/>
    <mergeCell ref="E30:E31"/>
    <mergeCell ref="F30:L30"/>
    <mergeCell ref="K9:K10"/>
    <mergeCell ref="D68:H68"/>
    <mergeCell ref="D69:E69"/>
    <mergeCell ref="F69:G69"/>
    <mergeCell ref="D176:G176"/>
    <mergeCell ref="D177:E177"/>
    <mergeCell ref="F177:G177"/>
  </mergeCells>
  <conditionalFormatting sqref="D123:G134 D136:G147 D149:G160">
    <cfRule type="expression" dxfId="12" priority="13">
      <formula>dms_TradingName="Western Power (T)"</formula>
    </cfRule>
  </conditionalFormatting>
  <conditionalFormatting sqref="J32:J49">
    <cfRule type="expression" dxfId="11" priority="12">
      <formula>(dms_FRCPlength_Num)&lt;5</formula>
    </cfRule>
  </conditionalFormatting>
  <conditionalFormatting sqref="D162:G173">
    <cfRule type="expression" dxfId="10" priority="11">
      <formula>dms_TradingName="Western Power (T)"</formula>
    </cfRule>
  </conditionalFormatting>
  <conditionalFormatting sqref="D71:G82">
    <cfRule type="expression" dxfId="9" priority="10">
      <formula>dms_TradingName="Western Power (T)"</formula>
    </cfRule>
  </conditionalFormatting>
  <conditionalFormatting sqref="D84:G95">
    <cfRule type="expression" dxfId="8" priority="9">
      <formula>dms_TradingName="Western Power (T)"</formula>
    </cfRule>
  </conditionalFormatting>
  <conditionalFormatting sqref="D97:G108">
    <cfRule type="expression" dxfId="7" priority="8">
      <formula>dms_TradingName="Western Power (T)"</formula>
    </cfRule>
  </conditionalFormatting>
  <conditionalFormatting sqref="D110:G121">
    <cfRule type="expression" dxfId="6" priority="7">
      <formula>dms_TradingName="Western Power (T)"</formula>
    </cfRule>
  </conditionalFormatting>
  <conditionalFormatting sqref="D189:G190">
    <cfRule type="expression" dxfId="5" priority="6">
      <formula>dms_TradingName="Western Power (T)"</formula>
    </cfRule>
  </conditionalFormatting>
  <conditionalFormatting sqref="H189:I190">
    <cfRule type="expression" dxfId="4" priority="5">
      <formula>dms_TradingName="Western Power (T)"</formula>
    </cfRule>
  </conditionalFormatting>
  <conditionalFormatting sqref="J189:J190">
    <cfRule type="expression" dxfId="3" priority="4">
      <formula>dms_TradingName="Western Power (T)"</formula>
    </cfRule>
  </conditionalFormatting>
  <conditionalFormatting sqref="D181:G188">
    <cfRule type="expression" dxfId="2" priority="3">
      <formula>dms_TradingName="Western Power (T)"</formula>
    </cfRule>
  </conditionalFormatting>
  <conditionalFormatting sqref="L178:S178 S179">
    <cfRule type="expression" dxfId="1" priority="2">
      <formula>dms_TradingName="Western Power (T)"</formula>
    </cfRule>
  </conditionalFormatting>
  <conditionalFormatting sqref="L179:R179">
    <cfRule type="expression" dxfId="0" priority="1">
      <formula>dms_TradingName="Western Power (T)"</formula>
    </cfRule>
  </conditionalFormatting>
  <dataValidations count="1">
    <dataValidation allowBlank="1" showInputMessage="1" showErrorMessage="1" prompt="Insert additional lines if reuqired" sqref="B48:B49" xr:uid="{C883E969-F98D-4133-863C-565F80DBD127}"/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 Decision</vt:lpstr>
      <vt:lpstr>SC Input data and Target</vt:lpstr>
      <vt:lpstr>SC-AER Simulation Results</vt:lpstr>
      <vt:lpstr>MIC</vt:lpstr>
      <vt:lpstr>AER-ENet Smoothed Revenue</vt:lpstr>
      <vt:lpstr>7.9 STPIS with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2022-09-26T06:19:41Z</dcterms:created>
  <dcterms:modified xsi:type="dcterms:W3CDTF">2023-04-27T05:00:00Z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