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ang\AppData\Roaming\iManage\Work\Recent\65444 - Powerlink 2022-27 transmission determination\"/>
    </mc:Choice>
  </mc:AlternateContent>
  <bookViews>
    <workbookView xWindow="2130" yWindow="1560" windowWidth="8670" windowHeight="4785" tabRatio="804" activeTab="4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70" i="55" l="1"/>
  <c r="F68" i="55"/>
  <c r="Q40" i="2"/>
  <c r="Q42" i="2"/>
  <c r="R40" i="2"/>
  <c r="R42" i="2"/>
  <c r="S40" i="2"/>
  <c r="S42" i="2"/>
  <c r="T40" i="2"/>
  <c r="T42" i="2"/>
  <c r="P40" i="2"/>
  <c r="P42" i="2"/>
  <c r="F53" i="58"/>
  <c r="E53" i="58"/>
  <c r="F69" i="55"/>
  <c r="F67" i="55"/>
  <c r="E18" i="44"/>
  <c r="C18" i="44"/>
  <c r="C93" i="42"/>
  <c r="E93" i="42"/>
  <c r="C94" i="42"/>
  <c r="E94" i="42"/>
  <c r="E16" i="44"/>
  <c r="C15" i="44"/>
  <c r="C16" i="44"/>
  <c r="C17" i="44"/>
  <c r="C92" i="42"/>
  <c r="C91" i="42"/>
  <c r="T4" i="44"/>
  <c r="T11" i="44"/>
  <c r="T18" i="44"/>
  <c r="T63" i="42"/>
  <c r="T4" i="42"/>
  <c r="T100" i="42"/>
  <c r="T65" i="42"/>
  <c r="U79" i="2"/>
  <c r="U80" i="2"/>
  <c r="U4" i="2"/>
  <c r="U95" i="2"/>
  <c r="H71" i="4"/>
  <c r="G71" i="4"/>
  <c r="T4" i="53"/>
  <c r="T38" i="53"/>
  <c r="T42" i="53"/>
  <c r="T4" i="58"/>
  <c r="U75" i="2"/>
  <c r="T58" i="42"/>
  <c r="U49" i="2"/>
  <c r="U60" i="2"/>
  <c r="U64" i="2"/>
  <c r="U36" i="2"/>
  <c r="U47" i="2"/>
  <c r="U104" i="2"/>
  <c r="U108" i="2"/>
  <c r="T72" i="42"/>
  <c r="T88" i="42"/>
  <c r="T12" i="42"/>
  <c r="T26" i="53"/>
  <c r="T34" i="53"/>
  <c r="T10" i="53"/>
  <c r="T22" i="53"/>
  <c r="J93" i="2" a="1"/>
  <c r="J93" i="2"/>
  <c r="K93" i="2" a="1"/>
  <c r="K93" i="2"/>
  <c r="L93" i="2" a="1"/>
  <c r="L93" i="2"/>
  <c r="M93" i="2" a="1"/>
  <c r="M93" i="2"/>
  <c r="U78" i="2"/>
  <c r="U73" i="2"/>
  <c r="T65" i="55"/>
  <c r="T66" i="55"/>
  <c r="T67" i="55"/>
  <c r="T68" i="55"/>
  <c r="T69" i="55"/>
  <c r="T70" i="55"/>
  <c r="G63" i="55"/>
  <c r="G64" i="55"/>
  <c r="G65" i="55"/>
  <c r="G66" i="55"/>
  <c r="G67" i="55"/>
  <c r="G68" i="55"/>
  <c r="G69" i="55"/>
  <c r="G70" i="55"/>
  <c r="C16" i="16"/>
  <c r="C15" i="16"/>
  <c r="C14" i="16"/>
  <c r="C13" i="16"/>
  <c r="C12" i="16"/>
  <c r="C11" i="16"/>
  <c r="H65" i="4"/>
  <c r="G65" i="4"/>
  <c r="U77" i="2"/>
  <c r="U98" i="2"/>
  <c r="U100" i="2"/>
  <c r="U97" i="2"/>
  <c r="U99" i="2"/>
  <c r="F47" i="58"/>
  <c r="F42" i="58"/>
  <c r="F43" i="58"/>
  <c r="F44" i="58"/>
  <c r="F45" i="58"/>
  <c r="F41" i="58"/>
  <c r="T61" i="42"/>
  <c r="T67" i="42" s="1"/>
  <c r="E67" i="58"/>
  <c r="E66" i="58"/>
  <c r="E65" i="58"/>
  <c r="E64" i="58"/>
  <c r="E63" i="58"/>
  <c r="C80" i="4"/>
  <c r="N47" i="58"/>
  <c r="O47" i="58"/>
  <c r="P47" i="58"/>
  <c r="Q47" i="58"/>
  <c r="R47" i="58"/>
  <c r="S47" i="58"/>
  <c r="X29" i="58"/>
  <c r="C97" i="2" a="1"/>
  <c r="C100" i="2"/>
  <c r="T93" i="2" a="1"/>
  <c r="T93" i="2"/>
  <c r="S93" i="2" a="1"/>
  <c r="S93" i="2"/>
  <c r="R93" i="2" a="1"/>
  <c r="R93" i="2"/>
  <c r="Q93" i="2"/>
  <c r="Q93" i="2" a="1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X93" i="2"/>
  <c r="C97" i="2"/>
  <c r="C98" i="2"/>
  <c r="C99" i="2"/>
  <c r="F40" i="53"/>
  <c r="F19" i="42"/>
  <c r="F8" i="42"/>
  <c r="F94" i="42"/>
  <c r="F93" i="42"/>
  <c r="F8" i="44"/>
  <c r="F16" i="44"/>
  <c r="F18" i="44"/>
  <c r="F24" i="42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/>
  <c r="F28" i="42"/>
  <c r="F29" i="42"/>
  <c r="C29" i="42"/>
  <c r="E69" i="58"/>
  <c r="E28" i="42"/>
  <c r="F35" i="42"/>
  <c r="E35" i="42"/>
  <c r="N57" i="58"/>
  <c r="O57" i="58"/>
  <c r="P57" i="58"/>
  <c r="Q57" i="58"/>
  <c r="R57" i="58"/>
  <c r="S57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/>
  <c r="H69" i="4"/>
  <c r="G69" i="4"/>
  <c r="H68" i="4"/>
  <c r="H67" i="4"/>
  <c r="G67" i="4"/>
  <c r="H76" i="4"/>
  <c r="G76" i="4"/>
  <c r="H75" i="4"/>
  <c r="G75" i="4"/>
  <c r="H74" i="4"/>
  <c r="G74" i="4"/>
  <c r="H73" i="4"/>
  <c r="G73" i="4"/>
  <c r="H72" i="4"/>
  <c r="G72" i="4"/>
  <c r="H66" i="4"/>
  <c r="G66" i="4"/>
  <c r="C40" i="4"/>
  <c r="G68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/>
  <c r="R4" i="42"/>
  <c r="R35" i="42"/>
  <c r="Q4" i="42"/>
  <c r="Q35" i="42"/>
  <c r="P4" i="42"/>
  <c r="O4" i="42"/>
  <c r="N4" i="42"/>
  <c r="M4" i="42"/>
  <c r="L4" i="42"/>
  <c r="K4" i="42"/>
  <c r="K35" i="42"/>
  <c r="J4" i="42"/>
  <c r="J35" i="42"/>
  <c r="S4" i="53"/>
  <c r="S10" i="53"/>
  <c r="R4" i="53"/>
  <c r="Q4" i="53"/>
  <c r="P4" i="53"/>
  <c r="P38" i="53"/>
  <c r="O4" i="53"/>
  <c r="N4" i="53"/>
  <c r="N38" i="53"/>
  <c r="M4" i="53"/>
  <c r="L4" i="53"/>
  <c r="L38" i="53"/>
  <c r="K4" i="53"/>
  <c r="J4" i="53"/>
  <c r="J4" i="2"/>
  <c r="J95" i="2"/>
  <c r="T4" i="2"/>
  <c r="T95" i="2"/>
  <c r="S4" i="2"/>
  <c r="S95" i="2"/>
  <c r="R4" i="2"/>
  <c r="R95" i="2"/>
  <c r="Q4" i="2"/>
  <c r="Q95" i="2"/>
  <c r="P4" i="2"/>
  <c r="P95" i="2"/>
  <c r="O4" i="2"/>
  <c r="O95" i="2"/>
  <c r="N4" i="2"/>
  <c r="N95" i="2"/>
  <c r="M4" i="2"/>
  <c r="M95" i="2"/>
  <c r="L4" i="2"/>
  <c r="L95" i="2"/>
  <c r="K4" i="2"/>
  <c r="K95" i="2"/>
  <c r="S4" i="58"/>
  <c r="S61" i="58"/>
  <c r="R4" i="58"/>
  <c r="R61" i="58"/>
  <c r="Q4" i="58"/>
  <c r="Q61" i="58"/>
  <c r="P4" i="58"/>
  <c r="P61" i="58"/>
  <c r="O4" i="58"/>
  <c r="O61" i="58"/>
  <c r="N4" i="58"/>
  <c r="N61" i="58"/>
  <c r="M4" i="58"/>
  <c r="M61" i="58"/>
  <c r="L4" i="58"/>
  <c r="L61" i="58"/>
  <c r="K4" i="58"/>
  <c r="K61" i="58"/>
  <c r="J4" i="58"/>
  <c r="J61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34" i="58"/>
  <c r="R34" i="58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R33" i="42"/>
  <c r="K33" i="42"/>
  <c r="Q33" i="42"/>
  <c r="S33" i="42"/>
  <c r="L12" i="42"/>
  <c r="J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/>
  <c r="O10" i="2"/>
  <c r="K10" i="2"/>
  <c r="M14" i="2"/>
  <c r="Q14" i="2"/>
  <c r="J24" i="2"/>
  <c r="K75" i="2"/>
  <c r="O75" i="2"/>
  <c r="S75" i="2"/>
  <c r="J64" i="2"/>
  <c r="Q64" i="2"/>
  <c r="M64" i="2"/>
  <c r="L10" i="58"/>
  <c r="P10" i="58"/>
  <c r="J34" i="58"/>
  <c r="J10" i="2"/>
  <c r="Q10" i="2"/>
  <c r="Q12" i="2"/>
  <c r="M10" i="2"/>
  <c r="K14" i="2"/>
  <c r="O14" i="2"/>
  <c r="S14" i="2"/>
  <c r="J49" i="2"/>
  <c r="M75" i="2"/>
  <c r="Q75" i="2"/>
  <c r="J104" i="2"/>
  <c r="S64" i="2"/>
  <c r="O64" i="2"/>
  <c r="K64" i="2"/>
  <c r="M34" i="58"/>
  <c r="M10" i="58"/>
  <c r="O34" i="58"/>
  <c r="O10" i="58"/>
  <c r="S34" i="58"/>
  <c r="S10" i="58"/>
  <c r="L64" i="2"/>
  <c r="L75" i="2"/>
  <c r="L14" i="2"/>
  <c r="L10" i="2"/>
  <c r="P64" i="2"/>
  <c r="P75" i="2"/>
  <c r="P14" i="2"/>
  <c r="P10" i="2"/>
  <c r="P12" i="2"/>
  <c r="R64" i="2"/>
  <c r="R75" i="2"/>
  <c r="R14" i="2"/>
  <c r="R10" i="2"/>
  <c r="R12" i="2"/>
  <c r="T64" i="2"/>
  <c r="T75" i="2"/>
  <c r="T14" i="2"/>
  <c r="T10" i="2"/>
  <c r="T12" i="2"/>
  <c r="J26" i="53"/>
  <c r="J10" i="53"/>
  <c r="R26" i="53"/>
  <c r="R10" i="53"/>
  <c r="L49" i="42"/>
  <c r="L24" i="2"/>
  <c r="P24" i="2"/>
  <c r="T24" i="2"/>
  <c r="R36" i="2"/>
  <c r="N36" i="2"/>
  <c r="N49" i="2"/>
  <c r="R49" i="2"/>
  <c r="L104" i="2"/>
  <c r="P104" i="2"/>
  <c r="T104" i="2"/>
  <c r="L10" i="53"/>
  <c r="P26" i="53"/>
  <c r="K34" i="58"/>
  <c r="K10" i="58"/>
  <c r="Q34" i="58"/>
  <c r="Q10" i="58"/>
  <c r="N64" i="2"/>
  <c r="N75" i="2"/>
  <c r="N14" i="2"/>
  <c r="N10" i="2"/>
  <c r="N12" i="2"/>
  <c r="N26" i="53"/>
  <c r="N10" i="53"/>
  <c r="J49" i="42"/>
  <c r="N24" i="2"/>
  <c r="R24" i="2"/>
  <c r="T36" i="2"/>
  <c r="P36" i="2"/>
  <c r="L36" i="2"/>
  <c r="L49" i="2"/>
  <c r="P49" i="2"/>
  <c r="T49" i="2"/>
  <c r="N104" i="2"/>
  <c r="R104" i="2"/>
  <c r="P10" i="53"/>
  <c r="L26" i="53"/>
  <c r="J38" i="53"/>
  <c r="R38" i="53"/>
  <c r="K38" i="53"/>
  <c r="K26" i="53"/>
  <c r="K10" i="53"/>
  <c r="M38" i="53"/>
  <c r="M26" i="53"/>
  <c r="M10" i="53"/>
  <c r="O38" i="53"/>
  <c r="O26" i="53"/>
  <c r="O10" i="53"/>
  <c r="Q38" i="53"/>
  <c r="Q26" i="53"/>
  <c r="Q10" i="53"/>
  <c r="S38" i="53"/>
  <c r="S26" i="53"/>
  <c r="K49" i="42"/>
  <c r="M49" i="42"/>
  <c r="S49" i="42"/>
  <c r="J14" i="2"/>
  <c r="K24" i="2"/>
  <c r="M24" i="2"/>
  <c r="O24" i="2"/>
  <c r="Q24" i="2"/>
  <c r="S24" i="2"/>
  <c r="J36" i="2"/>
  <c r="S36" i="2"/>
  <c r="Q36" i="2"/>
  <c r="O36" i="2"/>
  <c r="M36" i="2"/>
  <c r="K36" i="2"/>
  <c r="K49" i="2"/>
  <c r="M49" i="2"/>
  <c r="O49" i="2"/>
  <c r="Q49" i="2"/>
  <c r="S49" i="2"/>
  <c r="J75" i="2"/>
  <c r="K104" i="2"/>
  <c r="M104" i="2"/>
  <c r="O104" i="2"/>
  <c r="Q104" i="2"/>
  <c r="S104" i="2"/>
  <c r="J31" i="42"/>
  <c r="R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V75" i="2"/>
  <c r="C26" i="2" a="1"/>
  <c r="C16" i="2" a="1"/>
  <c r="Q28" i="42"/>
  <c r="M28" i="42"/>
  <c r="S28" i="42"/>
  <c r="R28" i="42"/>
  <c r="P28" i="42"/>
  <c r="J28" i="42"/>
  <c r="O28" i="42"/>
  <c r="N28" i="42"/>
  <c r="K28" i="42"/>
  <c r="L28" i="42"/>
  <c r="E49" i="42"/>
  <c r="E46" i="42"/>
  <c r="E43" i="42"/>
  <c r="E37" i="42"/>
  <c r="F55" i="58"/>
  <c r="E55" i="58"/>
  <c r="F54" i="58"/>
  <c r="E54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C27" i="2"/>
  <c r="C26" i="2"/>
  <c r="C29" i="2"/>
  <c r="C30" i="2"/>
  <c r="C32" i="2"/>
  <c r="C28" i="2"/>
  <c r="C31" i="2"/>
  <c r="C16" i="2"/>
  <c r="C19" i="2"/>
  <c r="C18" i="2"/>
  <c r="C20" i="2"/>
  <c r="C22" i="2"/>
  <c r="P22" i="2"/>
  <c r="O22" i="2"/>
  <c r="C21" i="2"/>
  <c r="C17" i="2"/>
  <c r="F23" i="42"/>
  <c r="F21" i="42"/>
  <c r="E21" i="42"/>
  <c r="E23" i="42"/>
  <c r="E40" i="42"/>
  <c r="E19" i="42"/>
  <c r="T20" i="42"/>
  <c r="F17" i="44"/>
  <c r="F15" i="44"/>
  <c r="F14" i="44"/>
  <c r="D32" i="2"/>
  <c r="E32" i="2"/>
  <c r="T32" i="2"/>
  <c r="Q32" i="2"/>
  <c r="R32" i="2"/>
  <c r="S32" i="2"/>
  <c r="P32" i="2"/>
  <c r="D22" i="2"/>
  <c r="E22" i="2"/>
  <c r="E17" i="44"/>
  <c r="E15" i="44"/>
  <c r="E14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2" i="42"/>
  <c r="E102" i="42"/>
  <c r="J15" i="44"/>
  <c r="J17" i="44"/>
  <c r="J16" i="44"/>
  <c r="J18" i="44"/>
  <c r="N15" i="44"/>
  <c r="N17" i="44"/>
  <c r="N16" i="44"/>
  <c r="N18" i="44"/>
  <c r="K18" i="44"/>
  <c r="K15" i="44"/>
  <c r="K17" i="44"/>
  <c r="K16" i="44"/>
  <c r="L16" i="44"/>
  <c r="L18" i="44"/>
  <c r="L15" i="44"/>
  <c r="L17" i="44"/>
  <c r="M16" i="44"/>
  <c r="M18" i="44"/>
  <c r="M15" i="44"/>
  <c r="M17" i="44"/>
  <c r="K14" i="44"/>
  <c r="K13" i="44"/>
  <c r="J14" i="44"/>
  <c r="J13" i="44"/>
  <c r="N14" i="44"/>
  <c r="N13" i="44"/>
  <c r="L14" i="44"/>
  <c r="L13" i="44"/>
  <c r="M13" i="44"/>
  <c r="M14" i="44"/>
  <c r="F104" i="42"/>
  <c r="F103" i="42"/>
  <c r="F96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2" i="53"/>
  <c r="R22" i="53"/>
  <c r="Q42" i="53"/>
  <c r="P22" i="53"/>
  <c r="O42" i="53"/>
  <c r="N22" i="53"/>
  <c r="M42" i="53"/>
  <c r="L22" i="53"/>
  <c r="K42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8" i="2"/>
  <c r="S108" i="2"/>
  <c r="Q108" i="2"/>
  <c r="O108" i="2"/>
  <c r="M108" i="2"/>
  <c r="C24" i="4"/>
  <c r="S9" i="54"/>
  <c r="M12" i="2"/>
  <c r="L12" i="2"/>
  <c r="K12" i="2"/>
  <c r="J12" i="2"/>
  <c r="O12" i="2"/>
  <c r="N22" i="2"/>
  <c r="M22" i="2"/>
  <c r="L22" i="2"/>
  <c r="K22" i="2"/>
  <c r="K14" i="42"/>
  <c r="M14" i="42"/>
  <c r="O14" i="42"/>
  <c r="Q14" i="42"/>
  <c r="S14" i="42"/>
  <c r="N14" i="42"/>
  <c r="P14" i="42"/>
  <c r="R14" i="42"/>
  <c r="J100" i="42"/>
  <c r="L100" i="42"/>
  <c r="N100" i="42"/>
  <c r="P100" i="42"/>
  <c r="R100" i="42"/>
  <c r="K100" i="42"/>
  <c r="M100" i="42"/>
  <c r="O100" i="42"/>
  <c r="Q100" i="42"/>
  <c r="S100" i="42"/>
  <c r="J88" i="42"/>
  <c r="J72" i="42"/>
  <c r="J58" i="42"/>
  <c r="J61" i="42"/>
  <c r="J67" i="42" s="1"/>
  <c r="L88" i="42"/>
  <c r="L72" i="42"/>
  <c r="L58" i="42"/>
  <c r="L61" i="42"/>
  <c r="N88" i="42"/>
  <c r="N72" i="42"/>
  <c r="N58" i="42"/>
  <c r="N61" i="42"/>
  <c r="N67" i="42" s="1"/>
  <c r="P88" i="42"/>
  <c r="P72" i="42"/>
  <c r="P58" i="42"/>
  <c r="P61" i="42"/>
  <c r="P67" i="42" s="1"/>
  <c r="R88" i="42"/>
  <c r="R72" i="42"/>
  <c r="R58" i="42"/>
  <c r="R61" i="42"/>
  <c r="R67" i="42" s="1"/>
  <c r="K58" i="42"/>
  <c r="K61" i="42"/>
  <c r="K67" i="42" s="1"/>
  <c r="M58" i="42"/>
  <c r="M61" i="42"/>
  <c r="M67" i="42" s="1"/>
  <c r="O58" i="42"/>
  <c r="O61" i="42"/>
  <c r="O67" i="42" s="1"/>
  <c r="Q58" i="42"/>
  <c r="Q61" i="42"/>
  <c r="Q67" i="42" s="1"/>
  <c r="S58" i="42"/>
  <c r="S61" i="42"/>
  <c r="S67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4" i="53"/>
  <c r="L34" i="53"/>
  <c r="N34" i="53"/>
  <c r="P34" i="53"/>
  <c r="R34" i="53"/>
  <c r="J42" i="53"/>
  <c r="L42" i="53"/>
  <c r="N42" i="53"/>
  <c r="P42" i="53"/>
  <c r="W42" i="53" s="1"/>
  <c r="S1" i="53" s="1"/>
  <c r="G14" i="16" s="1"/>
  <c r="R42" i="53"/>
  <c r="K34" i="53"/>
  <c r="M34" i="53"/>
  <c r="O34" i="53"/>
  <c r="Q34" i="53"/>
  <c r="S34" i="53"/>
  <c r="K47" i="2"/>
  <c r="M47" i="2"/>
  <c r="Q60" i="2"/>
  <c r="M60" i="2"/>
  <c r="O47" i="2"/>
  <c r="K60" i="2"/>
  <c r="O60" i="2"/>
  <c r="S60" i="2"/>
  <c r="L60" i="2"/>
  <c r="L47" i="2"/>
  <c r="L108" i="2"/>
  <c r="L73" i="2"/>
  <c r="N60" i="2"/>
  <c r="N47" i="2"/>
  <c r="N108" i="2"/>
  <c r="N73" i="2"/>
  <c r="P60" i="2"/>
  <c r="P108" i="2"/>
  <c r="P73" i="2"/>
  <c r="R60" i="2"/>
  <c r="R108" i="2"/>
  <c r="R73" i="2"/>
  <c r="T60" i="2"/>
  <c r="T108" i="2"/>
  <c r="T73" i="2"/>
  <c r="J60" i="2"/>
  <c r="J108" i="2"/>
  <c r="J73" i="2"/>
  <c r="J47" i="2"/>
  <c r="S73" i="2"/>
  <c r="Q73" i="2"/>
  <c r="O73" i="2"/>
  <c r="M73" i="2"/>
  <c r="K73" i="2"/>
  <c r="X73" i="2"/>
  <c r="O32" i="2"/>
  <c r="X60" i="2"/>
  <c r="J68" i="42" a="1"/>
  <c r="J68" i="42"/>
  <c r="L68" i="42" a="1"/>
  <c r="L68" i="42"/>
  <c r="K68" i="42" a="1"/>
  <c r="K68" i="42"/>
  <c r="K102" i="42"/>
  <c r="K103" i="42"/>
  <c r="K104" i="42"/>
  <c r="L103" i="42"/>
  <c r="L104" i="42"/>
  <c r="L102" i="42"/>
  <c r="J102" i="42"/>
  <c r="J103" i="42"/>
  <c r="J104" i="42"/>
  <c r="W22" i="53"/>
  <c r="W34" i="53"/>
  <c r="X108" i="2"/>
  <c r="N32" i="2"/>
  <c r="P47" i="2"/>
  <c r="S47" i="2"/>
  <c r="Q47" i="2"/>
  <c r="R47" i="2"/>
  <c r="T47" i="2"/>
  <c r="X47" i="2"/>
  <c r="T1" i="2" s="1"/>
  <c r="G13" i="16" s="1"/>
  <c r="M32" i="2"/>
  <c r="L32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J22" i="2"/>
  <c r="J32" i="2"/>
  <c r="K32" i="2"/>
  <c r="E84" i="42"/>
  <c r="E104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F13" i="44"/>
  <c r="E54" i="42"/>
  <c r="F33" i="42"/>
  <c r="E52" i="42"/>
  <c r="F13" i="42"/>
  <c r="E13" i="42"/>
  <c r="E15" i="42"/>
  <c r="E13" i="44"/>
  <c r="E103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6" i="42"/>
  <c r="E33" i="42"/>
  <c r="B2" i="55"/>
  <c r="S11" i="54"/>
  <c r="S14" i="54"/>
  <c r="G16" i="16"/>
  <c r="T1" i="55"/>
  <c r="G11" i="16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8" i="2"/>
  <c r="C79" i="2"/>
  <c r="C80" i="2"/>
  <c r="C81" i="2"/>
  <c r="C82" i="2"/>
  <c r="C77" i="2"/>
  <c r="S7" i="54"/>
  <c r="S10" i="54"/>
  <c r="S12" i="54"/>
  <c r="S13" i="54"/>
  <c r="D12" i="16"/>
  <c r="D13" i="16"/>
  <c r="D14" i="16"/>
  <c r="D15" i="16"/>
  <c r="D16" i="16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T13" i="42"/>
  <c r="L67" i="42"/>
  <c r="S1" i="54"/>
  <c r="G10" i="16"/>
  <c r="M68" i="42" a="1"/>
  <c r="M68" i="42"/>
  <c r="N68" i="42" a="1"/>
  <c r="N68" i="42"/>
  <c r="T68" i="42" a="1"/>
  <c r="T68" i="42"/>
  <c r="O21" i="2"/>
  <c r="P21" i="2"/>
  <c r="N21" i="2"/>
  <c r="M19" i="2"/>
  <c r="M29" i="2"/>
  <c r="N20" i="2"/>
  <c r="J16" i="2"/>
  <c r="K16" i="2"/>
  <c r="K26" i="2"/>
  <c r="K17" i="2"/>
  <c r="K27" i="2"/>
  <c r="L18" i="2"/>
  <c r="L28" i="2"/>
  <c r="D21" i="2"/>
  <c r="E21" i="2"/>
  <c r="D17" i="2"/>
  <c r="E17" i="2"/>
  <c r="E18" i="2"/>
  <c r="D18" i="2"/>
  <c r="E31" i="2"/>
  <c r="D31" i="2"/>
  <c r="S31" i="2"/>
  <c r="R20" i="42"/>
  <c r="R31" i="2"/>
  <c r="Q20" i="42"/>
  <c r="Q31" i="2"/>
  <c r="P20" i="42"/>
  <c r="T31" i="2"/>
  <c r="S20" i="42"/>
  <c r="E27" i="2"/>
  <c r="D27" i="2"/>
  <c r="S27" i="2"/>
  <c r="R27" i="2"/>
  <c r="Q27" i="2"/>
  <c r="T27" i="2"/>
  <c r="D19" i="2"/>
  <c r="E19" i="2"/>
  <c r="O20" i="2"/>
  <c r="M29" i="4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S50" i="42"/>
  <c r="N47" i="42"/>
  <c r="S41" i="42"/>
  <c r="R44" i="42"/>
  <c r="N38" i="42"/>
  <c r="N44" i="42"/>
  <c r="M47" i="42"/>
  <c r="N50" i="42"/>
  <c r="Q44" i="42"/>
  <c r="O38" i="42"/>
  <c r="S47" i="42"/>
  <c r="T41" i="42"/>
  <c r="S44" i="42"/>
  <c r="J38" i="42"/>
  <c r="Q29" i="42"/>
  <c r="O29" i="42"/>
  <c r="K44" i="42"/>
  <c r="R47" i="42"/>
  <c r="L50" i="42"/>
  <c r="P44" i="42"/>
  <c r="K47" i="42"/>
  <c r="R38" i="42"/>
  <c r="O41" i="42"/>
  <c r="P50" i="42"/>
  <c r="L44" i="42"/>
  <c r="T47" i="42"/>
  <c r="L47" i="42"/>
  <c r="M50" i="42"/>
  <c r="M44" i="42"/>
  <c r="K29" i="42"/>
  <c r="P29" i="42"/>
  <c r="T29" i="42"/>
  <c r="P47" i="42"/>
  <c r="L38" i="42"/>
  <c r="J41" i="42"/>
  <c r="Q50" i="42"/>
  <c r="S38" i="42"/>
  <c r="J50" i="42"/>
  <c r="Q47" i="42"/>
  <c r="M41" i="42"/>
  <c r="K50" i="42"/>
  <c r="P38" i="42"/>
  <c r="K41" i="42"/>
  <c r="R41" i="42"/>
  <c r="R50" i="42"/>
  <c r="T44" i="42"/>
  <c r="J29" i="42"/>
  <c r="N29" i="42"/>
  <c r="L29" i="42"/>
  <c r="N41" i="42"/>
  <c r="T38" i="42"/>
  <c r="Q41" i="42"/>
  <c r="O44" i="42"/>
  <c r="M38" i="42"/>
  <c r="T50" i="42"/>
  <c r="J47" i="42"/>
  <c r="P41" i="42"/>
  <c r="J44" i="42"/>
  <c r="K38" i="42"/>
  <c r="O47" i="42"/>
  <c r="L41" i="42"/>
  <c r="O50" i="42"/>
  <c r="Q38" i="42"/>
  <c r="S29" i="42"/>
  <c r="R29" i="42"/>
  <c r="P20" i="2"/>
  <c r="P13" i="42"/>
  <c r="P26" i="42" s="1"/>
  <c r="P30" i="2"/>
  <c r="R13" i="42"/>
  <c r="R26" i="42" s="1"/>
  <c r="S13" i="42"/>
  <c r="S26" i="42" s="1"/>
  <c r="M21" i="2"/>
  <c r="O30" i="2"/>
  <c r="K18" i="2"/>
  <c r="K28" i="2"/>
  <c r="O31" i="2"/>
  <c r="N20" i="42"/>
  <c r="J17" i="2"/>
  <c r="J27" i="2"/>
  <c r="L19" i="2"/>
  <c r="L29" i="2"/>
  <c r="L16" i="2"/>
  <c r="L26" i="2"/>
  <c r="M18" i="2"/>
  <c r="L17" i="2"/>
  <c r="L27" i="2"/>
  <c r="P31" i="2"/>
  <c r="O20" i="42"/>
  <c r="M20" i="2"/>
  <c r="M30" i="2"/>
  <c r="N31" i="2"/>
  <c r="M20" i="42"/>
  <c r="N19" i="2"/>
  <c r="N29" i="2"/>
  <c r="Q13" i="42"/>
  <c r="Q26" i="42" s="1"/>
  <c r="J26" i="2"/>
  <c r="N30" i="2"/>
  <c r="M16" i="2"/>
  <c r="M26" i="2"/>
  <c r="L21" i="2"/>
  <c r="L20" i="2"/>
  <c r="L30" i="2"/>
  <c r="M17" i="2"/>
  <c r="K19" i="2"/>
  <c r="K29" i="2"/>
  <c r="O19" i="2"/>
  <c r="R94" i="42"/>
  <c r="R18" i="44"/>
  <c r="N18" i="2"/>
  <c r="N28" i="2"/>
  <c r="J18" i="2"/>
  <c r="J28" i="2"/>
  <c r="M31" i="2"/>
  <c r="L20" i="42"/>
  <c r="M13" i="42"/>
  <c r="M26" i="42" s="1"/>
  <c r="M28" i="2"/>
  <c r="N16" i="2"/>
  <c r="S93" i="42"/>
  <c r="S17" i="44"/>
  <c r="Q93" i="42"/>
  <c r="Q17" i="44"/>
  <c r="N93" i="42"/>
  <c r="K94" i="42"/>
  <c r="K93" i="42"/>
  <c r="J91" i="42"/>
  <c r="R91" i="42"/>
  <c r="R15" i="44"/>
  <c r="O91" i="42"/>
  <c r="O15" i="44"/>
  <c r="K92" i="42"/>
  <c r="J92" i="42"/>
  <c r="K74" i="42"/>
  <c r="O74" i="42"/>
  <c r="M74" i="42"/>
  <c r="J93" i="42"/>
  <c r="O94" i="42"/>
  <c r="O18" i="44"/>
  <c r="Q94" i="42"/>
  <c r="Q18" i="44"/>
  <c r="N91" i="42"/>
  <c r="S91" i="42"/>
  <c r="S15" i="44"/>
  <c r="N92" i="42"/>
  <c r="R74" i="42"/>
  <c r="N94" i="42"/>
  <c r="T94" i="42"/>
  <c r="M92" i="42"/>
  <c r="Q74" i="42"/>
  <c r="L93" i="42"/>
  <c r="L94" i="42"/>
  <c r="O93" i="42"/>
  <c r="O17" i="44"/>
  <c r="O92" i="42"/>
  <c r="O16" i="44"/>
  <c r="T91" i="42"/>
  <c r="T15" i="44"/>
  <c r="T74" i="42"/>
  <c r="S94" i="42"/>
  <c r="S18" i="44"/>
  <c r="R92" i="42"/>
  <c r="R16" i="44"/>
  <c r="S92" i="42"/>
  <c r="S16" i="44"/>
  <c r="T92" i="42"/>
  <c r="T16" i="44"/>
  <c r="S74" i="42"/>
  <c r="P93" i="42"/>
  <c r="P17" i="44"/>
  <c r="M93" i="42"/>
  <c r="J94" i="42"/>
  <c r="R93" i="42"/>
  <c r="R17" i="44"/>
  <c r="M94" i="42"/>
  <c r="L92" i="42"/>
  <c r="L91" i="42"/>
  <c r="Q92" i="42"/>
  <c r="Q16" i="44"/>
  <c r="Q91" i="42"/>
  <c r="Q15" i="44"/>
  <c r="M91" i="42"/>
  <c r="P91" i="42"/>
  <c r="P15" i="44"/>
  <c r="L74" i="42"/>
  <c r="P74" i="42"/>
  <c r="N74" i="42"/>
  <c r="P94" i="42"/>
  <c r="P18" i="44"/>
  <c r="T93" i="42"/>
  <c r="T17" i="44"/>
  <c r="P92" i="42"/>
  <c r="P16" i="44"/>
  <c r="K91" i="42"/>
  <c r="J74" i="42"/>
  <c r="O29" i="2"/>
  <c r="P19" i="2"/>
  <c r="P29" i="2"/>
  <c r="N13" i="42"/>
  <c r="N26" i="42" s="1"/>
  <c r="O13" i="42"/>
  <c r="O26" i="42" s="1"/>
  <c r="L13" i="42"/>
  <c r="L26" i="42" s="1"/>
  <c r="K21" i="2"/>
  <c r="O18" i="2"/>
  <c r="P18" i="2"/>
  <c r="P28" i="2"/>
  <c r="J19" i="2"/>
  <c r="J29" i="2"/>
  <c r="N17" i="2"/>
  <c r="M27" i="2"/>
  <c r="K20" i="2"/>
  <c r="K30" i="2"/>
  <c r="O16" i="2"/>
  <c r="N26" i="2"/>
  <c r="L31" i="2"/>
  <c r="P16" i="2"/>
  <c r="J21" i="2"/>
  <c r="J31" i="2"/>
  <c r="J20" i="2"/>
  <c r="J30" i="2"/>
  <c r="O17" i="2"/>
  <c r="P17" i="2"/>
  <c r="N27" i="2"/>
  <c r="O28" i="2"/>
  <c r="O26" i="2"/>
  <c r="K31" i="2"/>
  <c r="J20" i="42"/>
  <c r="P27" i="2"/>
  <c r="M77" i="42"/>
  <c r="R77" i="42"/>
  <c r="L77" i="42"/>
  <c r="Q81" i="42"/>
  <c r="K81" i="42"/>
  <c r="T81" i="42"/>
  <c r="M80" i="42"/>
  <c r="R80" i="42"/>
  <c r="N78" i="42"/>
  <c r="S78" i="42"/>
  <c r="Q78" i="42"/>
  <c r="R82" i="42"/>
  <c r="L82" i="42"/>
  <c r="Q82" i="42"/>
  <c r="L76" i="42"/>
  <c r="Q76" i="42"/>
  <c r="K76" i="42"/>
  <c r="R90" i="42"/>
  <c r="R14" i="44"/>
  <c r="J90" i="42"/>
  <c r="M90" i="42"/>
  <c r="S75" i="42"/>
  <c r="M75" i="42"/>
  <c r="N75" i="42"/>
  <c r="L79" i="42"/>
  <c r="Q79" i="42"/>
  <c r="S77" i="42"/>
  <c r="P81" i="42"/>
  <c r="T80" i="42"/>
  <c r="S80" i="42"/>
  <c r="O78" i="42"/>
  <c r="N82" i="42"/>
  <c r="M82" i="42"/>
  <c r="M76" i="42"/>
  <c r="N90" i="42"/>
  <c r="N96" i="42"/>
  <c r="T90" i="42"/>
  <c r="T14" i="44"/>
  <c r="T75" i="42"/>
  <c r="S79" i="42"/>
  <c r="M79" i="42"/>
  <c r="R79" i="42"/>
  <c r="Q77" i="42"/>
  <c r="K77" i="42"/>
  <c r="P77" i="42"/>
  <c r="J81" i="42"/>
  <c r="O81" i="42"/>
  <c r="L81" i="42"/>
  <c r="L80" i="42"/>
  <c r="Q80" i="42"/>
  <c r="K80" i="42"/>
  <c r="R78" i="42"/>
  <c r="L78" i="42"/>
  <c r="M78" i="42"/>
  <c r="K82" i="42"/>
  <c r="P82" i="42"/>
  <c r="P76" i="42"/>
  <c r="J76" i="42"/>
  <c r="O76" i="42"/>
  <c r="K90" i="42"/>
  <c r="L90" i="42"/>
  <c r="Q90" i="42"/>
  <c r="Q14" i="44"/>
  <c r="L75" i="42"/>
  <c r="Q75" i="42"/>
  <c r="K79" i="42"/>
  <c r="P79" i="42"/>
  <c r="J79" i="42"/>
  <c r="J77" i="42"/>
  <c r="O77" i="42"/>
  <c r="T77" i="42"/>
  <c r="N81" i="42"/>
  <c r="S81" i="42"/>
  <c r="P80" i="42"/>
  <c r="J80" i="42"/>
  <c r="O80" i="42"/>
  <c r="K78" i="42"/>
  <c r="P78" i="42"/>
  <c r="J82" i="42"/>
  <c r="O82" i="42"/>
  <c r="T82" i="42"/>
  <c r="T76" i="42"/>
  <c r="N76" i="42"/>
  <c r="S76" i="42"/>
  <c r="O90" i="42"/>
  <c r="O14" i="44"/>
  <c r="P90" i="42"/>
  <c r="P14" i="44"/>
  <c r="K75" i="42"/>
  <c r="P75" i="42"/>
  <c r="R75" i="42"/>
  <c r="O79" i="42"/>
  <c r="T79" i="42"/>
  <c r="N79" i="42"/>
  <c r="N77" i="42"/>
  <c r="M81" i="42"/>
  <c r="R81" i="42"/>
  <c r="N80" i="42"/>
  <c r="J78" i="42"/>
  <c r="T78" i="42"/>
  <c r="S82" i="42"/>
  <c r="R76" i="42"/>
  <c r="S90" i="42"/>
  <c r="S14" i="44"/>
  <c r="O75" i="42"/>
  <c r="J75" i="42"/>
  <c r="P26" i="2"/>
  <c r="R22" i="42"/>
  <c r="K22" i="42"/>
  <c r="M22" i="42"/>
  <c r="S22" i="42"/>
  <c r="Q22" i="42"/>
  <c r="L22" i="42"/>
  <c r="N22" i="42"/>
  <c r="O24" i="42"/>
  <c r="J24" i="42"/>
  <c r="T24" i="42"/>
  <c r="P22" i="42"/>
  <c r="T22" i="42"/>
  <c r="K24" i="42"/>
  <c r="L24" i="42"/>
  <c r="P24" i="42"/>
  <c r="J22" i="42"/>
  <c r="R24" i="42"/>
  <c r="N24" i="42"/>
  <c r="O22" i="42"/>
  <c r="Q24" i="42"/>
  <c r="S24" i="42"/>
  <c r="M24" i="42"/>
  <c r="J15" i="42"/>
  <c r="N15" i="42"/>
  <c r="R15" i="42"/>
  <c r="K17" i="42"/>
  <c r="T17" i="42"/>
  <c r="K15" i="42"/>
  <c r="P17" i="42"/>
  <c r="S17" i="42"/>
  <c r="M15" i="42"/>
  <c r="O15" i="42"/>
  <c r="R17" i="42"/>
  <c r="Q17" i="42"/>
  <c r="L17" i="42"/>
  <c r="T15" i="42"/>
  <c r="Q15" i="42"/>
  <c r="S15" i="42"/>
  <c r="J17" i="42"/>
  <c r="N17" i="42"/>
  <c r="P15" i="42"/>
  <c r="O17" i="42"/>
  <c r="L31" i="42"/>
  <c r="P31" i="42"/>
  <c r="K52" i="42"/>
  <c r="K54" i="42"/>
  <c r="S52" i="42"/>
  <c r="S54" i="42"/>
  <c r="Q52" i="42"/>
  <c r="Q54" i="42"/>
  <c r="R52" i="42"/>
  <c r="R54" i="42"/>
  <c r="J52" i="42"/>
  <c r="J54" i="42"/>
  <c r="J13" i="42"/>
  <c r="J26" i="42" s="1"/>
  <c r="O27" i="2"/>
  <c r="R84" i="42"/>
  <c r="J84" i="42"/>
  <c r="N84" i="42"/>
  <c r="O96" i="42"/>
  <c r="J96" i="42"/>
  <c r="Q84" i="42"/>
  <c r="M84" i="42"/>
  <c r="L84" i="42"/>
  <c r="K96" i="42"/>
  <c r="M96" i="42"/>
  <c r="K84" i="42"/>
  <c r="P84" i="42"/>
  <c r="O84" i="42"/>
  <c r="S84" i="42"/>
  <c r="L96" i="42"/>
  <c r="R96" i="42"/>
  <c r="S96" i="42"/>
  <c r="T84" i="42"/>
  <c r="T96" i="42"/>
  <c r="Q96" i="42"/>
  <c r="P96" i="42"/>
  <c r="O35" i="42"/>
  <c r="P35" i="42"/>
  <c r="P33" i="42"/>
  <c r="P52" i="42"/>
  <c r="L35" i="42"/>
  <c r="M35" i="42"/>
  <c r="L33" i="42"/>
  <c r="L52" i="42"/>
  <c r="P54" i="42"/>
  <c r="L54" i="42"/>
  <c r="M102" i="42"/>
  <c r="M103" i="42"/>
  <c r="M104" i="42"/>
  <c r="M16" i="42"/>
  <c r="M17" i="42"/>
  <c r="L14" i="42"/>
  <c r="L15" i="42"/>
  <c r="N31" i="42"/>
  <c r="O31" i="42"/>
  <c r="M31" i="42"/>
  <c r="O33" i="42"/>
  <c r="O52" i="42"/>
  <c r="M33" i="42"/>
  <c r="O54" i="42"/>
  <c r="M52" i="42"/>
  <c r="M54" i="42"/>
  <c r="N103" i="42"/>
  <c r="N104" i="42"/>
  <c r="T102" i="42"/>
  <c r="T13" i="44"/>
  <c r="T103" i="42"/>
  <c r="N102" i="42"/>
  <c r="T104" i="42"/>
  <c r="L47" i="58"/>
  <c r="L57" i="58"/>
  <c r="K47" i="58"/>
  <c r="K57" i="58"/>
  <c r="J47" i="58"/>
  <c r="K12" i="42"/>
  <c r="K13" i="42"/>
  <c r="K26" i="42" s="1"/>
  <c r="K19" i="42"/>
  <c r="K20" i="42"/>
  <c r="N35" i="42"/>
  <c r="J57" i="58"/>
  <c r="M47" i="58"/>
  <c r="M57" i="58"/>
  <c r="X57" i="58"/>
  <c r="S1" i="58"/>
  <c r="G12" i="16"/>
  <c r="G15" i="16"/>
  <c r="S1" i="16" l="1"/>
  <c r="W1" i="42" s="1"/>
  <c r="Q68" i="42" a="1"/>
  <c r="Q68" i="42" s="1"/>
  <c r="S68" i="42" a="1"/>
  <c r="S68" i="42" s="1"/>
  <c r="R68" i="42" a="1"/>
  <c r="R68" i="42" s="1"/>
  <c r="O68" i="42" a="1"/>
  <c r="O68" i="42" s="1"/>
  <c r="P68" i="42" a="1"/>
  <c r="P68" i="42" s="1"/>
  <c r="N33" i="42"/>
  <c r="W1" i="44" l="1"/>
  <c r="V1" i="54"/>
  <c r="W1" i="55"/>
  <c r="X1" i="2"/>
  <c r="W1" i="58"/>
  <c r="V1" i="4"/>
  <c r="V1" i="53"/>
  <c r="N52" i="42"/>
  <c r="N54" i="42" s="1"/>
  <c r="O102" i="42" l="1"/>
  <c r="O13" i="44" s="1"/>
  <c r="P102" i="42"/>
  <c r="P13" i="44" s="1"/>
  <c r="P103" i="42"/>
  <c r="P104" i="42" s="1"/>
  <c r="S103" i="42"/>
  <c r="S104" i="42" s="1"/>
  <c r="O103" i="42"/>
  <c r="O104" i="42" s="1"/>
  <c r="Q102" i="42"/>
  <c r="Q13" i="44" s="1"/>
  <c r="R102" i="42"/>
  <c r="R13" i="44" s="1"/>
  <c r="Q103" i="42"/>
  <c r="Q104" i="42" s="1"/>
  <c r="S102" i="42"/>
  <c r="S13" i="44" s="1"/>
  <c r="R103" i="42"/>
  <c r="R104" i="42" s="1"/>
</calcChain>
</file>

<file path=xl/sharedStrings.xml><?xml version="1.0" encoding="utf-8"?>
<sst xmlns="http://schemas.openxmlformats.org/spreadsheetml/2006/main" count="708" uniqueCount="209">
  <si>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</si>
  <si>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</si>
  <si>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</si>
  <si>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</si>
  <si>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</si>
  <si>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</si>
  <si>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</si>
  <si>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</si>
  <si>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</si>
  <si>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</si>
  <si>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</si>
  <si>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</si>
  <si>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</si>
  <si>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</si>
  <si>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</si>
  <si>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</si>
  <si>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</si>
  <si>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</si>
  <si>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</si>
  <si>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</si>
  <si>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</si>
  <si>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</si>
  <si>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</si>
  <si>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</si>
  <si>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</si>
  <si>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</si>
  <si>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</si>
  <si>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</si>
  <si>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</si>
  <si>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</si>
  <si>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</si>
  <si>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</si>
  <si>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</si>
  <si>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</si>
  <si>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</si>
  <si>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</si>
  <si>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</si>
  <si>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</si>
  <si>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</si>
  <si>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</si>
  <si>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</si>
  <si>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</si>
  <si>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</si>
  <si>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</si>
  <si>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</si>
  <si>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</si>
  <si>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</si>
  <si>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</si>
  <si>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</si>
  <si>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</si>
  <si>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</si>
  <si>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</si>
  <si>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</si>
  <si>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</si>
  <si>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</si>
  <si>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</si>
  <si>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</si>
  <si>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</si>
  <si>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</si>
  <si>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</si>
  <si>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</si>
  <si>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</si>
  <si>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</si>
  <si>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</si>
  <si>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</si>
  <si>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</si>
  <si>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</si>
  <si>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</si>
  <si>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</si>
  <si>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</si>
  <si>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</si>
  <si>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</si>
  <si>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</si>
  <si>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</si>
  <si>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</si>
  <si>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</si>
  <si>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</si>
  <si>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</si>
  <si>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</si>
  <si>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</si>
  <si>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</si>
  <si>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</si>
  <si>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</si>
  <si>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</si>
  <si>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</si>
  <si>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</si>
  <si>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</si>
  <si>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</si>
  <si>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</si>
  <si>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</si>
  <si>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</si>
  <si>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</si>
  <si>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</si>
  <si>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</si>
  <si>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</si>
  <si>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</si>
  <si>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</si>
  <si>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</si>
  <si>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</si>
  <si>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</si>
  <si>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</si>
  <si>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</si>
  <si>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</si>
  <si>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</si>
  <si>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</si>
  <si>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</si>
  <si>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</si>
  <si>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</si>
  <si>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</si>
  <si>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</si>
  <si>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</si>
  <si>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</si>
  <si>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</si>
  <si>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</si>
  <si>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</si>
  <si>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</si>
  <si>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</si>
  <si>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</si>
  <si>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</si>
  <si>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</si>
  <si>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</si>
  <si>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</si>
  <si>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</si>
  <si>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</si>
  <si>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</si>
  <si>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</si>
  <si>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</si>
  <si>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</si>
  <si>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</si>
  <si>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</si>
  <si>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</si>
  <si>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</si>
  <si>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</si>
  <si>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</si>
  <si>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</si>
  <si>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</si>
  <si>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</si>
  <si>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</si>
  <si>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</si>
  <si>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</si>
  <si>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</si>
  <si>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</si>
  <si>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</si>
  <si>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</si>
  <si>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</si>
  <si>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</si>
  <si>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</si>
  <si>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</si>
  <si>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</si>
  <si>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</si>
  <si>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</si>
  <si>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</si>
  <si>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</si>
  <si>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</si>
  <si>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</si>
  <si>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</si>
  <si>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</si>
  <si>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</si>
  <si>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</si>
  <si>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</si>
  <si>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</si>
  <si>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</si>
  <si>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</si>
  <si>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</si>
  <si>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</si>
  <si>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</si>
  <si>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</si>
  <si>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</si>
  <si>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</si>
  <si>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</si>
  <si>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</si>
  <si>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</si>
  <si>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</si>
  <si>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Customer numbers (#)</t>
  </si>
  <si>
    <t>Output weights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</si>
  <si>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</si>
  <si>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</si>
  <si>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</si>
  <si>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</si>
  <si>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</si>
  <si>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</si>
  <si>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</si>
  <si>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</si>
  <si>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</si>
  <si>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</si>
  <si>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</si>
  <si>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</si>
  <si>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</si>
  <si>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</si>
  <si>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</si>
  <si>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Previous period year 6</t>
  </si>
  <si>
    <t>Powerlink</t>
  </si>
  <si>
    <t xml:space="preserve">Network support </t>
  </si>
  <si>
    <t>Opex MPFP</t>
  </si>
  <si>
    <t>Network support costs</t>
  </si>
  <si>
    <t>NCIPAP project costs</t>
  </si>
  <si>
    <t>Superannuation guarantee increases</t>
  </si>
  <si>
    <t>WPI - average + super guarantee increases</t>
  </si>
  <si>
    <t>Losses on disposals</t>
  </si>
  <si>
    <t>Self-insurance adjustment</t>
  </si>
  <si>
    <t>Circuit Length (km)</t>
  </si>
  <si>
    <t xml:space="preserve">Ratcheted maximum demand </t>
  </si>
  <si>
    <t xml:space="preserve">Energy </t>
  </si>
  <si>
    <t>Input | Rate of change</t>
  </si>
  <si>
    <t>Calc | Opex Forecast</t>
  </si>
  <si>
    <t>Output | Models</t>
  </si>
  <si>
    <t>Ok</t>
  </si>
  <si>
    <t xml:space="preserve">WPI - BIS Oxford </t>
  </si>
  <si>
    <t>WPI - average of DAE and BISOE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</si>
</sst>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5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6" fontId="1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4" fillId="0" borderId="0"/>
    <xf numFmtId="178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4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80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2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83" fontId="21" fillId="6" borderId="0" applyFont="0" applyBorder="0">
      <alignment horizontal="right"/>
      <protection locked="0"/>
    </xf>
    <xf numFmtId="183" fontId="21" fillId="6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4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5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6" fontId="21" fillId="0" borderId="0" applyFill="0" applyBorder="0"/>
    <xf numFmtId="186" fontId="21" fillId="0" borderId="0" applyFill="0" applyBorder="0"/>
    <xf numFmtId="186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7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8" fontId="21" fillId="0" borderId="0"/>
    <xf numFmtId="188" fontId="21" fillId="0" borderId="0"/>
    <xf numFmtId="188" fontId="21" fillId="0" borderId="0"/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191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4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5" fillId="42" borderId="0"/>
    <xf numFmtId="202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0" fontId="91" fillId="50" borderId="28">
      <alignment vertical="center"/>
    </xf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" fillId="0" borderId="0"/>
    <xf numFmtId="166" fontId="92" fillId="0" borderId="0" applyFont="0" applyFill="0" applyBorder="0" applyAlignment="0" applyProtection="0"/>
    <xf numFmtId="0" fontId="92" fillId="0" borderId="0"/>
    <xf numFmtId="207" fontId="21" fillId="0" borderId="0" applyFill="0" applyBorder="0">
      <alignment vertical="center"/>
    </xf>
  </cellStyleXfs>
  <cellXfs count="225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6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74" fontId="11" fillId="0" borderId="0" xfId="5" applyNumberFormat="1" applyFont="1" applyFill="1" applyBorder="1" applyAlignment="1" applyProtection="1">
      <alignment horizontal="center" vertical="center"/>
    </xf>
    <xf numFmtId="174" fontId="19" fillId="0" borderId="0" xfId="5" applyNumberFormat="1" applyFont="1" applyFill="1" applyBorder="1" applyAlignment="1" applyProtection="1">
      <alignment horizontal="center" vertical="center"/>
    </xf>
    <xf numFmtId="175" fontId="5" fillId="0" borderId="0" xfId="0" applyNumberFormat="1" applyFont="1"/>
    <xf numFmtId="177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Alignment="1" applyProtection="1">
      <alignment horizontal="left"/>
    </xf>
    <xf numFmtId="195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6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5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6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5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99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6" fontId="11" fillId="0" borderId="3" xfId="0" applyNumberFormat="1" applyFont="1" applyBorder="1" applyAlignment="1" applyProtection="1">
      <alignment horizontal="center"/>
    </xf>
    <xf numFmtId="166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Protection="1"/>
    <xf numFmtId="168" fontId="5" fillId="0" borderId="0" xfId="0" applyNumberFormat="1" applyFont="1" applyAlignment="1" applyProtection="1">
      <alignment horizontal="left"/>
    </xf>
    <xf numFmtId="194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6" fontId="6" fillId="41" borderId="3" xfId="2" applyNumberFormat="1" applyFont="1" applyFill="1" applyBorder="1" applyAlignment="1" applyProtection="1">
      <alignment horizontal="center"/>
      <protection locked="0"/>
    </xf>
    <xf numFmtId="200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3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4" fontId="73" fillId="39" borderId="4" xfId="0" applyNumberFormat="1" applyFont="1" applyFill="1" applyBorder="1" applyAlignment="1" applyProtection="1">
      <alignment horizontal="center" wrapText="1"/>
    </xf>
    <xf numFmtId="204" fontId="90" fillId="38" borderId="2" xfId="0" applyNumberFormat="1" applyFont="1" applyFill="1" applyBorder="1" applyAlignment="1" applyProtection="1">
      <alignment horizontal="center"/>
    </xf>
    <xf numFmtId="204" fontId="73" fillId="38" borderId="2" xfId="0" applyNumberFormat="1" applyFont="1" applyFill="1" applyBorder="1" applyAlignment="1" applyProtection="1">
      <alignment horizontal="left"/>
    </xf>
    <xf numFmtId="204" fontId="7" fillId="0" borderId="7" xfId="0" applyNumberFormat="1" applyFont="1" applyBorder="1" applyAlignment="1" applyProtection="1">
      <alignment horizontal="center"/>
    </xf>
    <xf numFmtId="204" fontId="5" fillId="0" borderId="0" xfId="0" applyNumberFormat="1" applyFont="1" applyAlignment="1">
      <alignment horizontal="left" indent="1"/>
    </xf>
    <xf numFmtId="204" fontId="6" fillId="0" borderId="0" xfId="0" applyNumberFormat="1" applyFont="1" applyAlignment="1" applyProtection="1">
      <alignment horizontal="center"/>
    </xf>
    <xf numFmtId="204" fontId="6" fillId="41" borderId="22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4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6" fontId="5" fillId="0" borderId="0" xfId="2" applyNumberFormat="1" applyFont="1" applyFill="1" applyBorder="1" applyAlignment="1" applyProtection="1">
      <alignment horizontal="center"/>
      <protection locked="0"/>
    </xf>
    <xf numFmtId="204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4" fontId="17" fillId="0" borderId="0" xfId="0" applyNumberFormat="1" applyFont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201" fontId="7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4" fontId="6" fillId="0" borderId="7" xfId="0" applyNumberFormat="1" applyFont="1" applyBorder="1" applyAlignment="1" applyProtection="1">
      <alignment horizontal="center"/>
    </xf>
    <xf numFmtId="205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4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5" fontId="5" fillId="0" borderId="0" xfId="0" applyNumberFormat="1" applyFont="1" applyProtection="1">
      <protection locked="0"/>
    </xf>
    <xf numFmtId="195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4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2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4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2" fontId="5" fillId="0" borderId="0" xfId="2" applyNumberFormat="1" applyFont="1" applyFill="1" applyBorder="1" applyAlignment="1" applyProtection="1">
      <alignment horizontal="center"/>
      <protection locked="0"/>
    </xf>
    <xf numFmtId="204" fontId="6" fillId="0" borderId="22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4" fontId="18" fillId="8" borderId="9" xfId="0" applyNumberFormat="1" applyFont="1" applyFill="1" applyBorder="1" applyAlignment="1" applyProtection="1">
      <alignment horizontal="center"/>
      <protection locked="0"/>
    </xf>
    <xf numFmtId="206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4" fontId="14" fillId="8" borderId="9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4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Border="1" applyAlignment="1">
      <alignment horizontal="center"/>
    </xf>
    <xf numFmtId="168" fontId="6" fillId="41" borderId="3" xfId="0" applyNumberFormat="1" applyFont="1" applyFill="1" applyBorder="1" applyAlignment="1" applyProtection="1">
      <alignment horizontal="center"/>
    </xf>
    <xf numFmtId="204" fontId="6" fillId="41" borderId="3" xfId="0" applyNumberFormat="1" applyFont="1" applyFill="1" applyBorder="1" applyAlignment="1" applyProtection="1">
      <alignment horizontal="center"/>
    </xf>
    <xf numFmtId="0" fontId="71" fillId="38" borderId="0" xfId="3" applyFont="1" applyFill="1" applyBorder="1" applyAlignment="1" applyProtection="1"/>
    <xf numFmtId="0" fontId="73" fillId="38" borderId="2" xfId="0" applyNumberFormat="1" applyFont="1" applyFill="1" applyBorder="1" applyAlignment="1" applyProtection="1">
      <alignment horizontal="center"/>
    </xf>
    <xf numFmtId="168" fontId="5" fillId="51" borderId="3" xfId="0" applyNumberFormat="1" applyFont="1" applyFill="1" applyBorder="1" applyAlignment="1" applyProtection="1">
      <alignment horizontal="left" indent="1"/>
      <protection locked="0"/>
    </xf>
    <xf numFmtId="168" fontId="5" fillId="41" borderId="3" xfId="0" applyNumberFormat="1" applyFont="1" applyFill="1" applyBorder="1" applyAlignment="1" applyProtection="1">
      <alignment horizontal="left" indent="1"/>
      <protection locked="0"/>
    </xf>
    <xf numFmtId="0" fontId="5" fillId="41" borderId="3" xfId="0" applyNumberFormat="1" applyFont="1" applyFill="1" applyBorder="1" applyAlignment="1" applyProtection="1">
      <alignment horizontal="left" indent="1"/>
      <protection locked="0"/>
    </xf>
    <xf numFmtId="194" fontId="7" fillId="40" borderId="27" xfId="0" applyNumberFormat="1" applyFont="1" applyFill="1" applyBorder="1" applyAlignment="1" applyProtection="1">
      <alignment horizontal="center"/>
      <protection locked="0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0" fontId="5" fillId="0" borderId="0" xfId="2" applyNumberFormat="1" applyFont="1" applyFill="1" applyProtection="1">
      <protection locked="0"/>
    </xf>
    <xf numFmtId="182" fontId="5" fillId="0" borderId="0" xfId="2" applyNumberFormat="1" applyFont="1" applyFill="1" applyAlignment="1" applyProtection="1">
      <alignment horizontal="center"/>
      <protection locked="0"/>
    </xf>
    <xf numFmtId="0" fontId="73" fillId="38" borderId="2" xfId="0" applyNumberFormat="1" applyFont="1" applyFill="1" applyBorder="1" applyAlignment="1" applyProtection="1">
      <alignment horizontal="center"/>
    </xf>
  </cellXfs>
  <cellStyles count="305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ockout 2 2" xfId="269"/>
    <cellStyle name="Blockout 3" xfId="268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6"/>
    <cellStyle name="Comma 2" xfId="8"/>
    <cellStyle name="Comma 2 2" xfId="73"/>
    <cellStyle name="Comma 2 2 2" xfId="270"/>
    <cellStyle name="Comma 2 3" xfId="74"/>
    <cellStyle name="Comma 2 3 2" xfId="75"/>
    <cellStyle name="Comma 2 3 2 2" xfId="272"/>
    <cellStyle name="Comma 2 3 3" xfId="271"/>
    <cellStyle name="Comma 2 4" xfId="76"/>
    <cellStyle name="Comma 2 4 2" xfId="273"/>
    <cellStyle name="Comma 2 5" xfId="77"/>
    <cellStyle name="Comma 2 5 2" xfId="274"/>
    <cellStyle name="Comma 2 6" xfId="267"/>
    <cellStyle name="Comma 3" xfId="78"/>
    <cellStyle name="Comma 3 2" xfId="79"/>
    <cellStyle name="Comma 3 3" xfId="80"/>
    <cellStyle name="Comma 3 3 2" xfId="275"/>
    <cellStyle name="Comma 4" xfId="81"/>
    <cellStyle name="Comma 4 2" xfId="276"/>
    <cellStyle name="Comma 5" xfId="82"/>
    <cellStyle name="Comma 5 2" xfId="277"/>
    <cellStyle name="Comma 6" xfId="83"/>
    <cellStyle name="Comma 6 2" xfId="278"/>
    <cellStyle name="Comma 7" xfId="84"/>
    <cellStyle name="Comma 7 2" xfId="279"/>
    <cellStyle name="Comma 8" xfId="85"/>
    <cellStyle name="Comma 8 2" xfId="280"/>
    <cellStyle name="Comma 9" xfId="302"/>
    <cellStyle name="Comma0" xfId="86"/>
    <cellStyle name="Currency 11" xfId="87"/>
    <cellStyle name="Currency 11 2" xfId="88"/>
    <cellStyle name="Currency 11 2 2" xfId="282"/>
    <cellStyle name="Currency 11 3" xfId="281"/>
    <cellStyle name="Currency 2" xfId="89"/>
    <cellStyle name="Currency 2 2" xfId="90"/>
    <cellStyle name="Currency 2 2 2" xfId="284"/>
    <cellStyle name="Currency 2 3" xfId="283"/>
    <cellStyle name="Currency 3" xfId="91"/>
    <cellStyle name="Currency 3 2" xfId="92"/>
    <cellStyle name="Currency 3 2 2" xfId="286"/>
    <cellStyle name="Currency 3 3" xfId="285"/>
    <cellStyle name="Currency 4" xfId="93"/>
    <cellStyle name="Currency 4 2" xfId="94"/>
    <cellStyle name="Currency 4 2 2" xfId="288"/>
    <cellStyle name="Currency 4 3" xfId="287"/>
    <cellStyle name="Currency 5" xfId="243"/>
    <cellStyle name="Currency 5 2" xfId="297"/>
    <cellStyle name="Currency 6" xfId="300"/>
    <cellStyle name="D4_B8B1_005004B79812_.wvu.PrintTitlest" xfId="95"/>
    <cellStyle name="Date" xfId="96"/>
    <cellStyle name="Date 2" xfId="97"/>
    <cellStyle name="dms_1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1 2 2" xfId="290"/>
    <cellStyle name="Input1 3" xfId="289"/>
    <cellStyle name="Input2" xfId="127"/>
    <cellStyle name="Input2 2" xfId="128"/>
    <cellStyle name="Input3" xfId="129"/>
    <cellStyle name="Input3 2" xfId="130"/>
    <cellStyle name="Input3 2 2" xfId="292"/>
    <cellStyle name="Input3 3" xfId="291"/>
    <cellStyle name="Inputs_Divider" xfId="253"/>
    <cellStyle name="InSheet" xfId="254"/>
    <cellStyle name="K_Number" xfId="30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95"/>
    <cellStyle name="Normal 11" xfId="264"/>
    <cellStyle name="Normal 11 2" xfId="298"/>
    <cellStyle name="Normal 12" xfId="30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 3 2" xfId="293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303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7 2 2" xfId="294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" xfId="296"/>
    <cellStyle name="Percent 6" xfId="299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>
      <selection activeCell="C1" sqref="C1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203</v>
      </c>
      <c r="D10" s="7" t="s">
        <v>185</v>
      </c>
    </row>
    <row r="11" spans="1:47">
      <c r="C11" s="19" t="s">
        <v>60</v>
      </c>
      <c r="D11" s="7" t="s">
        <v>51</v>
      </c>
    </row>
    <row r="12" spans="1:47">
      <c r="C12" s="19" t="s">
        <v>204</v>
      </c>
      <c r="D12" s="7" t="s">
        <v>186</v>
      </c>
    </row>
    <row r="13" spans="1:47">
      <c r="C13" s="19" t="s">
        <v>205</v>
      </c>
      <c r="D13" s="7" t="s">
        <v>187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_final'!A1" display="Calc | Opex Forecast_final"/>
    <hyperlink ref="C13" location="'Output|Models_final'!A1" display="Output | Models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_final'!A1" display="Input | Rate of change_final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>
      <selection activeCell="G15" sqref="G15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191</v>
      </c>
      <c r="H7" s="29"/>
      <c r="I7" s="29"/>
      <c r="S7" s="131" t="str">
        <f>IF(COUNTBLANK($G7),"Check","Ok")</f>
        <v>Ok</v>
      </c>
    </row>
    <row r="8" spans="1:47">
      <c r="C8" s="29" t="s">
        <v>139</v>
      </c>
      <c r="D8" s="30" t="s">
        <v>69</v>
      </c>
      <c r="E8" s="29"/>
      <c r="F8" s="29"/>
      <c r="G8" s="52" t="s">
        <v>140</v>
      </c>
      <c r="H8" s="29"/>
      <c r="I8" s="29"/>
      <c r="S8" s="131" t="str">
        <f>IF(COUNTBLANK($G8),"Check","Ok")</f>
        <v>Ok</v>
      </c>
    </row>
    <row r="9" spans="1:47">
      <c r="C9" s="29" t="s">
        <v>123</v>
      </c>
      <c r="D9" s="30" t="s">
        <v>68</v>
      </c>
      <c r="E9" s="29"/>
      <c r="F9" s="29"/>
      <c r="G9" s="153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154</v>
      </c>
      <c r="D10" s="30" t="s">
        <v>68</v>
      </c>
      <c r="E10" s="29"/>
      <c r="F10" s="29"/>
      <c r="G10" s="154">
        <v>2018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4">
        <v>2019</v>
      </c>
      <c r="H11" s="29"/>
      <c r="I11" s="29"/>
      <c r="S11" s="131" t="str">
        <f t="shared" si="0"/>
        <v>Ok</v>
      </c>
    </row>
    <row r="12" spans="1:47">
      <c r="C12" s="29" t="s">
        <v>155</v>
      </c>
      <c r="D12" s="30" t="s">
        <v>68</v>
      </c>
      <c r="E12" s="29"/>
      <c r="F12" s="29"/>
      <c r="G12" s="154">
        <v>2022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4">
        <v>2023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4">
        <v>2027</v>
      </c>
      <c r="H14" s="29"/>
      <c r="I14" s="29"/>
      <c r="S14" s="131" t="str">
        <f t="shared" si="0"/>
        <v>Ok</v>
      </c>
    </row>
    <row r="15" spans="1:47">
      <c r="C15" s="29" t="s">
        <v>180</v>
      </c>
      <c r="D15" s="30" t="s">
        <v>69</v>
      </c>
      <c r="E15" s="29"/>
      <c r="F15" s="29"/>
      <c r="G15" s="154" t="s">
        <v>183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205" priority="13" operator="equal">
      <formula>"Check"</formula>
    </cfRule>
    <cfRule type="cellIs" dxfId="204" priority="14" operator="equal">
      <formula>"Ok"</formula>
    </cfRule>
  </conditionalFormatting>
  <conditionalFormatting sqref="V1">
    <cfRule type="cellIs" dxfId="203" priority="3" operator="equal">
      <formula>"Check"</formula>
    </cfRule>
    <cfRule type="cellIs" dxfId="202" priority="4" operator="equal">
      <formula>"Ok"</formula>
    </cfRule>
  </conditionalFormatting>
  <conditionalFormatting sqref="S7:S15">
    <cfRule type="cellIs" dxfId="201" priority="5" operator="equal">
      <formula>"Check"</formula>
    </cfRule>
    <cfRule type="cellIs" dxfId="200" priority="6" operator="equal">
      <formula>"Ok"</formula>
    </cfRule>
  </conditionalFormatting>
  <conditionalFormatting sqref="S1">
    <cfRule type="cellIs" dxfId="199" priority="1" operator="equal">
      <formula>"Check"</formula>
    </cfRule>
    <cfRule type="cellIs" dxfId="198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'Lookup|Tables'!$G$81:$G$82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topLeftCell="A31" workbookViewId="0">
      <selection activeCell="C32" sqref="C32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IF(COUNTA($T$5:$T$71)=COUNTIF($T5:$T72,"OK"),"OK","Check")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137</v>
      </c>
      <c r="F6" s="62" t="s">
        <v>97</v>
      </c>
      <c r="G6" s="62" t="s">
        <v>137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220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220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220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220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220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220">
        <v>99.2</v>
      </c>
      <c r="G26" s="117">
        <f t="shared" ref="G26:G70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220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220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220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220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220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220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220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220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220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220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220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220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220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220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220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220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220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220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220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220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220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220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220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220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220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220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220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220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220">
        <v>113.5</v>
      </c>
      <c r="G55" s="117">
        <f t="shared" si="1"/>
        <v>1.8850987432674993E-2</v>
      </c>
      <c r="H55" s="187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220">
        <v>114.1</v>
      </c>
      <c r="G56" s="117">
        <f t="shared" si="1"/>
        <v>1.7841213202497874E-2</v>
      </c>
      <c r="H56" s="187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220">
        <v>114.1</v>
      </c>
      <c r="G57" s="117">
        <f t="shared" si="1"/>
        <v>1.3321492007104752E-2</v>
      </c>
      <c r="H57" s="187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220">
        <v>114.8</v>
      </c>
      <c r="G58" s="117">
        <f t="shared" si="1"/>
        <v>1.5929203539823078E-2</v>
      </c>
      <c r="H58" s="187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20">
        <v>115.4</v>
      </c>
      <c r="G59" s="117">
        <f t="shared" si="1"/>
        <v>1.6740088105726914E-2</v>
      </c>
      <c r="H59" s="187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20">
        <v>116.2</v>
      </c>
      <c r="G60" s="117">
        <f t="shared" si="1"/>
        <v>1.8404907975460238E-2</v>
      </c>
      <c r="H60" s="187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220">
        <v>116.6</v>
      </c>
      <c r="G61" s="117">
        <f t="shared" si="1"/>
        <v>2.1910604732690686E-2</v>
      </c>
      <c r="H61" s="187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220">
        <v>114.4</v>
      </c>
      <c r="G62" s="117">
        <f t="shared" si="1"/>
        <v>-3.4843205574912606E-3</v>
      </c>
      <c r="H62" s="187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220">
        <v>116.2</v>
      </c>
      <c r="G63" s="117">
        <f t="shared" si="1"/>
        <v>6.9324090121316573E-3</v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20">
        <v>117.2</v>
      </c>
      <c r="G64" s="117">
        <f t="shared" si="1"/>
        <v>8.6058519793459354E-3</v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C65" s="64">
        <v>44286</v>
      </c>
      <c r="D65" s="29"/>
      <c r="E65" s="29"/>
      <c r="F65" s="220">
        <v>117.9</v>
      </c>
      <c r="G65" s="117">
        <f t="shared" si="1"/>
        <v>1.1149228130360234E-2</v>
      </c>
      <c r="H65" s="187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1:48">
      <c r="C66" s="64">
        <v>44377</v>
      </c>
      <c r="D66" s="29"/>
      <c r="E66" s="29"/>
      <c r="F66" s="220">
        <v>118.8</v>
      </c>
      <c r="G66" s="117">
        <f t="shared" si="1"/>
        <v>3.8461538461538325E-2</v>
      </c>
      <c r="H66" s="187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1:48">
      <c r="C67" s="64">
        <v>44469</v>
      </c>
      <c r="D67" s="29"/>
      <c r="E67" s="29"/>
      <c r="F67" s="220">
        <f>AVERAGE(F66,F68)</f>
        <v>119.465</v>
      </c>
      <c r="G67" s="117">
        <f t="shared" si="1"/>
        <v>2.8098106712564519E-2</v>
      </c>
      <c r="H67" s="187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1:48">
      <c r="C68" s="64">
        <v>44561</v>
      </c>
      <c r="D68" s="29"/>
      <c r="E68" s="29"/>
      <c r="F68" s="220">
        <f>F64*(1+2.5%)</f>
        <v>120.13</v>
      </c>
      <c r="G68" s="117">
        <f t="shared" si="1"/>
        <v>2.4999999999999911E-2</v>
      </c>
      <c r="H68" s="187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1:48">
      <c r="C69" s="64">
        <v>44651</v>
      </c>
      <c r="D69" s="29"/>
      <c r="E69" s="29"/>
      <c r="F69" s="220">
        <f>AVERAGE(F68,F70)</f>
        <v>120.35599999999999</v>
      </c>
      <c r="G69" s="117">
        <f t="shared" si="1"/>
        <v>2.0831212892281403E-2</v>
      </c>
      <c r="H69" s="187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1:48">
      <c r="C70" s="64">
        <v>44742</v>
      </c>
      <c r="D70" s="29"/>
      <c r="E70" s="29"/>
      <c r="F70" s="63">
        <f>F66*(1+1.5%)</f>
        <v>120.58199999999998</v>
      </c>
      <c r="G70" s="117">
        <f t="shared" si="1"/>
        <v>1.4999999999999902E-2</v>
      </c>
      <c r="H70" s="187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1:48">
      <c r="F71" s="29"/>
      <c r="G71" s="29"/>
      <c r="H71" s="29"/>
      <c r="I71" s="29"/>
      <c r="J71" s="29"/>
      <c r="T71" s="132"/>
    </row>
    <row r="72" spans="1:48" s="103" customFormat="1" ht="12.75">
      <c r="A72" s="94"/>
      <c r="B72" s="95" t="s">
        <v>21</v>
      </c>
      <c r="C72" s="94"/>
      <c r="D72" s="94"/>
      <c r="E72" s="94"/>
      <c r="F72" s="94"/>
      <c r="G72" s="96"/>
      <c r="H72" s="96"/>
      <c r="I72" s="96"/>
      <c r="J72" s="96"/>
      <c r="K72" s="97"/>
      <c r="L72" s="98"/>
      <c r="M72" s="97"/>
      <c r="N72" s="98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hidden="1">
      <c r="H73" s="32"/>
      <c r="I73" s="32"/>
    </row>
    <row r="74" spans="1:48" hidden="1">
      <c r="H74" s="32"/>
      <c r="I74" s="32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1:48" s="30" customFormat="1" hidden="1">
      <c r="A77" s="29"/>
      <c r="B77" s="29"/>
      <c r="C77" s="29"/>
      <c r="H77" s="32"/>
      <c r="I77" s="32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 s="30" customFormat="1" hidden="1">
      <c r="A78" s="29"/>
      <c r="B78" s="29"/>
      <c r="C78" s="29"/>
      <c r="H78" s="32"/>
      <c r="I78" s="32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 s="30" customFormat="1" hidden="1">
      <c r="A79" s="29"/>
      <c r="B79" s="29"/>
      <c r="C79" s="29"/>
      <c r="H79" s="32"/>
      <c r="I79" s="32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 s="30" customFormat="1" hidden="1">
      <c r="A80" s="29"/>
      <c r="B80" s="29"/>
      <c r="C80" s="29"/>
      <c r="H80" s="32"/>
      <c r="I80" s="3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1:48" s="30" customFormat="1" hidden="1">
      <c r="A81" s="29"/>
      <c r="B81" s="29"/>
      <c r="C81" s="29"/>
      <c r="H81" s="32"/>
      <c r="I81" s="32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1:48" s="30" customFormat="1" hidden="1">
      <c r="A82" s="29"/>
      <c r="B82" s="29"/>
      <c r="C82" s="29"/>
      <c r="H82" s="32"/>
      <c r="I82" s="32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  <row r="83" spans="1:48" ht="11.25" hidden="1" customHeight="1"/>
    <row r="84" spans="1:48" ht="11.25" hidden="1" customHeight="1"/>
    <row r="85" spans="1:48" ht="11.25" hidden="1" customHeight="1"/>
    <row r="86" spans="1:48" ht="11.25" hidden="1" customHeight="1"/>
    <row r="87" spans="1:48" ht="11.25" hidden="1" customHeight="1"/>
    <row r="88" spans="1:48" ht="11.25" hidden="1" customHeight="1"/>
    <row r="89" spans="1:48" ht="11.25" hidden="1" customHeight="1"/>
    <row r="90" spans="1:48" ht="11.25" hidden="1" customHeight="1"/>
    <row r="91" spans="1:48" ht="11.25" hidden="1" customHeight="1"/>
    <row r="92" spans="1:48" ht="11.25" hidden="1" customHeight="1"/>
    <row r="93" spans="1:48" ht="11.25" hidden="1" customHeight="1"/>
    <row r="94" spans="1:48" ht="11.25" hidden="1" customHeight="1"/>
    <row r="95" spans="1:48" ht="11.25" hidden="1" customHeight="1"/>
    <row r="96" spans="1:48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71 X63:X71">
    <cfRule type="cellIs" dxfId="197" priority="11" operator="equal">
      <formula>"Check"</formula>
    </cfRule>
    <cfRule type="cellIs" dxfId="196" priority="12" operator="equal">
      <formula>"Ok"</formula>
    </cfRule>
  </conditionalFormatting>
  <conditionalFormatting sqref="W1">
    <cfRule type="cellIs" dxfId="195" priority="7" operator="equal">
      <formula>"Check"</formula>
    </cfRule>
    <cfRule type="cellIs" dxfId="194" priority="8" operator="equal">
      <formula>"Ok"</formula>
    </cfRule>
  </conditionalFormatting>
  <conditionalFormatting sqref="T1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X51:X57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X58:X62 T9:T70">
    <cfRule type="cellIs" dxfId="189" priority="1" operator="equal">
      <formula>"Check"</formula>
    </cfRule>
    <cfRule type="cellIs" dxfId="188" priority="2" operator="equal">
      <formula>"Ok"</formula>
    </cfRule>
  </conditionalFormatting>
  <dataValidations disablePrompts="1" count="2">
    <dataValidation type="list" allowBlank="1" showInputMessage="1" showErrorMessage="1" sqref="G71">
      <formula1>"Real 2010,Real 2011,Real 2012,Real 2013,Real 2014,Real 2015,Nominal"</formula1>
    </dataValidation>
    <dataValidation type="list" allowBlank="1" showInputMessage="1" showErrorMessage="1" sqref="J12:J7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73"/>
  <sheetViews>
    <sheetView topLeftCell="A16" zoomScale="98" zoomScaleNormal="80" workbookViewId="0">
      <selection activeCell="E37" sqref="E37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IF(COUNTA($X$29:$X$266)=COUNTIF($X$29:$X$266,"OK"),"OK","Check")</f>
        <v>OK</v>
      </c>
      <c r="T1" s="76"/>
      <c r="U1" s="69"/>
      <c r="V1" s="186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7" t="s">
        <v>123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8">
        <f t="shared" ref="J10:S10" si="0">IF(YEAR(J$4)&lt;=PPLastYear,J$4,"")</f>
        <v>43252</v>
      </c>
      <c r="K10" s="158">
        <f t="shared" si="0"/>
        <v>43617</v>
      </c>
      <c r="L10" s="158">
        <f t="shared" si="0"/>
        <v>43983</v>
      </c>
      <c r="M10" s="158">
        <f t="shared" si="0"/>
        <v>44348</v>
      </c>
      <c r="N10" s="158">
        <f t="shared" si="0"/>
        <v>44713</v>
      </c>
      <c r="O10" s="158" t="str">
        <f t="shared" si="0"/>
        <v/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  <c r="U10" s="137" t="s">
        <v>54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  <c r="W12" s="29"/>
      <c r="X12" s="29"/>
    </row>
    <row r="13" spans="1:24">
      <c r="A13" s="29"/>
      <c r="B13" s="29"/>
      <c r="C13" s="61" t="s">
        <v>73</v>
      </c>
      <c r="D13" s="30" t="s">
        <v>69</v>
      </c>
      <c r="E13" s="170" t="s">
        <v>15</v>
      </c>
      <c r="F13" s="170">
        <v>42887</v>
      </c>
      <c r="G13" s="32"/>
      <c r="H13" s="32"/>
      <c r="I13" s="30"/>
      <c r="J13" s="163">
        <v>196.89449932492701</v>
      </c>
      <c r="K13" s="163">
        <v>196.03672139940113</v>
      </c>
      <c r="L13" s="163">
        <v>195.11353824357761</v>
      </c>
      <c r="M13" s="163">
        <v>194.39700578522832</v>
      </c>
      <c r="N13" s="163">
        <v>194.27251432500898</v>
      </c>
      <c r="O13" s="163"/>
      <c r="P13" s="163"/>
      <c r="Q13" s="163"/>
      <c r="R13" s="163"/>
      <c r="S13" s="163"/>
      <c r="T13" s="163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  <c r="W14" s="29"/>
      <c r="X14" s="29"/>
    </row>
    <row r="15" spans="1:24">
      <c r="A15" s="29"/>
      <c r="B15" s="29"/>
      <c r="C15" s="139" t="s">
        <v>73</v>
      </c>
      <c r="D15" s="140" t="str">
        <f>D13</f>
        <v>AER</v>
      </c>
      <c r="E15" s="202" t="str">
        <f>E13</f>
        <v>$millions</v>
      </c>
      <c r="F15" s="202">
        <f>F13</f>
        <v>42887</v>
      </c>
      <c r="G15" s="32"/>
      <c r="H15" s="32"/>
      <c r="I15" s="30"/>
      <c r="J15" s="129">
        <f>J13</f>
        <v>196.89449932492701</v>
      </c>
      <c r="K15" s="129">
        <f t="shared" ref="K15:S15" si="1">K13</f>
        <v>196.03672139940113</v>
      </c>
      <c r="L15" s="129">
        <f t="shared" si="1"/>
        <v>195.11353824357761</v>
      </c>
      <c r="M15" s="129">
        <f t="shared" si="1"/>
        <v>194.39700578522832</v>
      </c>
      <c r="N15" s="129">
        <f t="shared" si="1"/>
        <v>194.27251432500898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  <c r="W16" s="29"/>
      <c r="X16" s="29"/>
    </row>
    <row r="17" spans="1:24">
      <c r="A17" s="29"/>
      <c r="B17" s="29"/>
      <c r="C17" s="67" t="s">
        <v>164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0">
        <f t="shared" ref="F19:F27" si="2">$F$15</f>
        <v>42887</v>
      </c>
      <c r="G19" s="32"/>
      <c r="H19" s="32"/>
      <c r="I19" s="30"/>
      <c r="J19" s="163">
        <v>3.6001069590761241</v>
      </c>
      <c r="K19" s="163">
        <v>3.5685976033943958</v>
      </c>
      <c r="L19" s="163">
        <v>3.5292962065765954</v>
      </c>
      <c r="M19" s="163">
        <v>3.4822005545318926</v>
      </c>
      <c r="N19" s="163">
        <v>3.4324239586567611</v>
      </c>
      <c r="O19" s="163"/>
      <c r="P19" s="163"/>
      <c r="Q19" s="163"/>
      <c r="R19" s="163"/>
      <c r="S19" s="163"/>
      <c r="T19" s="163"/>
      <c r="U19" s="29"/>
      <c r="V19" s="29"/>
      <c r="W19" s="29"/>
      <c r="X19" s="29"/>
    </row>
    <row r="20" spans="1:24">
      <c r="A20" s="29"/>
      <c r="B20" s="29"/>
      <c r="C20" s="61" t="s">
        <v>189</v>
      </c>
      <c r="D20" s="30" t="s">
        <v>69</v>
      </c>
      <c r="E20" s="30" t="str">
        <f t="shared" ref="E20:E27" si="3">$E$15</f>
        <v>$millions</v>
      </c>
      <c r="F20" s="160">
        <f t="shared" si="2"/>
        <v>42887</v>
      </c>
      <c r="G20" s="32"/>
      <c r="H20" s="32"/>
      <c r="I20" s="30"/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/>
      <c r="P20" s="163"/>
      <c r="Q20" s="163"/>
      <c r="R20" s="163"/>
      <c r="S20" s="163"/>
      <c r="T20" s="163"/>
      <c r="U20" s="29"/>
      <c r="V20" s="29"/>
      <c r="W20" s="29"/>
      <c r="X20" s="29"/>
    </row>
    <row r="21" spans="1:24">
      <c r="A21" s="29"/>
      <c r="B21" s="29"/>
      <c r="C21" s="61"/>
      <c r="D21" s="30" t="s">
        <v>69</v>
      </c>
      <c r="E21" s="30" t="str">
        <f t="shared" si="3"/>
        <v>$millions</v>
      </c>
      <c r="F21" s="160">
        <f t="shared" si="2"/>
        <v>42887</v>
      </c>
      <c r="G21" s="32"/>
      <c r="H21" s="32"/>
      <c r="I21" s="3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29"/>
      <c r="V21" s="29"/>
      <c r="W21" s="29"/>
      <c r="X21" s="29"/>
    </row>
    <row r="22" spans="1:24">
      <c r="A22" s="29"/>
      <c r="B22" s="29"/>
      <c r="C22" s="61"/>
      <c r="D22" s="30" t="s">
        <v>69</v>
      </c>
      <c r="E22" s="30" t="str">
        <f t="shared" si="3"/>
        <v>$millions</v>
      </c>
      <c r="F22" s="160">
        <f t="shared" si="2"/>
        <v>42887</v>
      </c>
      <c r="G22" s="32"/>
      <c r="H22" s="32"/>
      <c r="I22" s="30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29"/>
      <c r="V22" s="29"/>
      <c r="W22" s="29"/>
      <c r="X22" s="29"/>
    </row>
    <row r="23" spans="1:24">
      <c r="A23" s="29"/>
      <c r="B23" s="29"/>
      <c r="C23" s="61"/>
      <c r="D23" s="30" t="s">
        <v>69</v>
      </c>
      <c r="E23" s="30" t="str">
        <f t="shared" si="3"/>
        <v>$millions</v>
      </c>
      <c r="F23" s="160">
        <f t="shared" si="2"/>
        <v>42887</v>
      </c>
      <c r="G23" s="32"/>
      <c r="H23" s="32"/>
      <c r="I23" s="30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29"/>
      <c r="V23" s="29"/>
      <c r="W23" s="29"/>
      <c r="X23" s="29"/>
    </row>
    <row r="24" spans="1:24">
      <c r="A24" s="29"/>
      <c r="B24" s="29"/>
      <c r="C24" s="61"/>
      <c r="D24" s="30" t="s">
        <v>69</v>
      </c>
      <c r="E24" s="30" t="str">
        <f t="shared" si="3"/>
        <v>$millions</v>
      </c>
      <c r="F24" s="160">
        <f t="shared" si="2"/>
        <v>42887</v>
      </c>
      <c r="G24" s="32"/>
      <c r="H24" s="32"/>
      <c r="I24" s="30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29"/>
      <c r="V24" s="29"/>
      <c r="W24" s="29"/>
      <c r="X24" s="29"/>
    </row>
    <row r="25" spans="1:24">
      <c r="A25" s="29"/>
      <c r="B25" s="29"/>
      <c r="C25" s="61"/>
      <c r="D25" s="30" t="s">
        <v>69</v>
      </c>
      <c r="E25" s="30" t="str">
        <f t="shared" si="3"/>
        <v>$millions</v>
      </c>
      <c r="F25" s="160">
        <f t="shared" si="2"/>
        <v>42887</v>
      </c>
      <c r="G25" s="32"/>
      <c r="H25" s="32"/>
      <c r="I25" s="30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29"/>
      <c r="V25" s="29"/>
      <c r="W25" s="29"/>
      <c r="X25" s="29"/>
    </row>
    <row r="26" spans="1:24">
      <c r="A26" s="29"/>
      <c r="B26" s="29"/>
      <c r="C26" s="61"/>
      <c r="D26" s="30" t="s">
        <v>69</v>
      </c>
      <c r="E26" s="30" t="str">
        <f t="shared" si="3"/>
        <v>$millions</v>
      </c>
      <c r="F26" s="160">
        <f t="shared" si="2"/>
        <v>42887</v>
      </c>
      <c r="G26" s="32"/>
      <c r="H26" s="32"/>
      <c r="I26" s="30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29"/>
      <c r="V26" s="29"/>
      <c r="W26" s="29"/>
      <c r="X26" s="29"/>
    </row>
    <row r="27" spans="1:24">
      <c r="A27" s="29"/>
      <c r="B27" s="29"/>
      <c r="C27" s="61"/>
      <c r="D27" s="30" t="s">
        <v>69</v>
      </c>
      <c r="E27" s="30" t="str">
        <f t="shared" si="3"/>
        <v>$millions</v>
      </c>
      <c r="F27" s="160">
        <f t="shared" si="2"/>
        <v>42887</v>
      </c>
      <c r="G27" s="32"/>
      <c r="H27" s="32"/>
      <c r="I27" s="30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162</v>
      </c>
      <c r="D29" s="140" t="s">
        <v>30</v>
      </c>
      <c r="E29" s="130" t="s">
        <v>15</v>
      </c>
      <c r="F29" s="161">
        <f>F27</f>
        <v>42887</v>
      </c>
      <c r="G29" s="32"/>
      <c r="H29" s="32"/>
      <c r="I29" s="30"/>
      <c r="J29" s="129">
        <f>SUM(J19:J27)</f>
        <v>3.6001069590761241</v>
      </c>
      <c r="K29" s="129">
        <f t="shared" ref="K29:S29" si="4">SUM(K19:K27)</f>
        <v>3.5685976033943958</v>
      </c>
      <c r="L29" s="129">
        <f t="shared" si="4"/>
        <v>3.5292962065765954</v>
      </c>
      <c r="M29" s="129">
        <f t="shared" si="4"/>
        <v>3.4822005545318926</v>
      </c>
      <c r="N29" s="129">
        <f t="shared" si="4"/>
        <v>3.4324239586567611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29"/>
      <c r="D33" s="30"/>
      <c r="E33" s="30"/>
      <c r="F33" s="30"/>
      <c r="G33" s="30"/>
      <c r="H33" s="30"/>
      <c r="I33" s="30"/>
      <c r="J33" s="163" t="s">
        <v>23</v>
      </c>
      <c r="K33" s="163" t="s">
        <v>23</v>
      </c>
      <c r="L33" s="163" t="s">
        <v>23</v>
      </c>
      <c r="M33" s="163" t="s">
        <v>74</v>
      </c>
      <c r="N33" s="163" t="s">
        <v>74</v>
      </c>
      <c r="O33" s="163"/>
      <c r="P33" s="163"/>
      <c r="Q33" s="163"/>
      <c r="R33" s="163"/>
      <c r="S33" s="163"/>
      <c r="T33" s="163"/>
      <c r="U33" s="29"/>
      <c r="V33" s="29"/>
      <c r="W33" s="29"/>
      <c r="X33" s="29"/>
    </row>
    <row r="34" spans="1:24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8">
        <f t="shared" ref="J34:S34" si="5">IF(YEAR(J$4)&lt;=PPLastYear,J$4,"")</f>
        <v>43252</v>
      </c>
      <c r="K34" s="158">
        <f t="shared" si="5"/>
        <v>43617</v>
      </c>
      <c r="L34" s="158">
        <f t="shared" si="5"/>
        <v>43983</v>
      </c>
      <c r="M34" s="158">
        <f t="shared" si="5"/>
        <v>44348</v>
      </c>
      <c r="N34" s="158">
        <f t="shared" si="5"/>
        <v>44713</v>
      </c>
      <c r="O34" s="158" t="str">
        <f t="shared" si="5"/>
        <v/>
      </c>
      <c r="P34" s="158" t="str">
        <f t="shared" si="5"/>
        <v/>
      </c>
      <c r="Q34" s="158" t="str">
        <f t="shared" si="5"/>
        <v/>
      </c>
      <c r="R34" s="158" t="str">
        <f t="shared" si="5"/>
        <v/>
      </c>
      <c r="S34" s="158" t="str">
        <f t="shared" si="5"/>
        <v/>
      </c>
      <c r="T34" s="158"/>
      <c r="U34" s="137" t="s">
        <v>54</v>
      </c>
      <c r="V34" s="138"/>
      <c r="W34" s="138"/>
      <c r="X34" s="29"/>
    </row>
    <row r="35" spans="1:24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>
      <c r="A37" s="29"/>
      <c r="B37" s="29"/>
      <c r="C37" s="61" t="s">
        <v>73</v>
      </c>
      <c r="D37" s="30" t="s">
        <v>75</v>
      </c>
      <c r="E37" s="212" t="str">
        <f>$E$57</f>
        <v>$millions</v>
      </c>
      <c r="F37" s="213" t="s">
        <v>100</v>
      </c>
      <c r="G37" s="32"/>
      <c r="H37" s="32"/>
      <c r="I37" s="30"/>
      <c r="J37" s="163">
        <v>187.61423428000001</v>
      </c>
      <c r="K37" s="163">
        <v>199.36694991747189</v>
      </c>
      <c r="L37" s="163">
        <v>202.10109199999999</v>
      </c>
      <c r="M37" s="163">
        <v>205.45</v>
      </c>
      <c r="N37" s="163"/>
      <c r="O37" s="163"/>
      <c r="P37" s="163"/>
      <c r="Q37" s="163"/>
      <c r="R37" s="163"/>
      <c r="S37" s="163"/>
      <c r="T37" s="163"/>
      <c r="U37" s="29"/>
      <c r="V37" s="29"/>
      <c r="W37" s="29"/>
      <c r="X37" s="29"/>
    </row>
    <row r="38" spans="1:24">
      <c r="A38" s="29"/>
      <c r="B38" s="29"/>
      <c r="C38" s="111"/>
      <c r="D38" s="30"/>
      <c r="E38" s="30"/>
      <c r="F38" s="160"/>
      <c r="G38" s="32"/>
      <c r="H38" s="32"/>
      <c r="I38" s="30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29"/>
      <c r="V38" s="29"/>
      <c r="W38" s="29"/>
      <c r="X38" s="29"/>
    </row>
    <row r="39" spans="1:24">
      <c r="A39" s="29"/>
      <c r="B39" s="29"/>
      <c r="C39" s="67" t="s">
        <v>179</v>
      </c>
      <c r="D39" s="30"/>
      <c r="E39" s="30"/>
      <c r="F39" s="160"/>
      <c r="G39" s="32"/>
      <c r="H39" s="32"/>
      <c r="I39" s="30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9"/>
      <c r="V39" s="29"/>
      <c r="W39" s="29"/>
      <c r="X39" s="29"/>
    </row>
    <row r="40" spans="1:24">
      <c r="A40" s="29"/>
      <c r="B40" s="29"/>
      <c r="C40" s="67"/>
      <c r="D40" s="30"/>
      <c r="E40" s="30"/>
      <c r="F40" s="160"/>
      <c r="G40" s="32"/>
      <c r="H40" s="32"/>
      <c r="I40" s="30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29"/>
      <c r="V40" s="29"/>
      <c r="W40" s="29"/>
      <c r="X40" s="29"/>
    </row>
    <row r="41" spans="1:24">
      <c r="A41" s="29"/>
      <c r="B41" s="29"/>
      <c r="C41" s="61" t="s">
        <v>176</v>
      </c>
      <c r="D41" s="30" t="s">
        <v>75</v>
      </c>
      <c r="E41" s="30" t="str">
        <f>$E$57</f>
        <v>$millions</v>
      </c>
      <c r="F41" s="160" t="str">
        <f>$F$37</f>
        <v>nominal</v>
      </c>
      <c r="G41" s="32"/>
      <c r="H41" s="32"/>
      <c r="I41" s="30"/>
      <c r="J41" s="163">
        <v>-0.60359977525501174</v>
      </c>
      <c r="K41" s="163">
        <v>0.97421233318367928</v>
      </c>
      <c r="L41" s="163">
        <v>2.189345531044061</v>
      </c>
      <c r="M41" s="163">
        <v>0</v>
      </c>
      <c r="N41" s="163"/>
      <c r="O41" s="163"/>
      <c r="P41" s="163"/>
      <c r="Q41" s="163"/>
      <c r="R41" s="163"/>
      <c r="S41" s="163"/>
      <c r="T41" s="163"/>
      <c r="U41" s="29"/>
      <c r="V41" s="29"/>
      <c r="W41" s="29"/>
      <c r="X41" s="29"/>
    </row>
    <row r="42" spans="1:24">
      <c r="A42" s="29"/>
      <c r="B42" s="29"/>
      <c r="C42" s="61" t="s">
        <v>195</v>
      </c>
      <c r="D42" s="30" t="s">
        <v>75</v>
      </c>
      <c r="E42" s="30" t="str">
        <f>$E$57</f>
        <v>$millions</v>
      </c>
      <c r="F42" s="160" t="str">
        <f t="shared" ref="F42:F45" si="6">$F$37</f>
        <v>nominal</v>
      </c>
      <c r="G42" s="32"/>
      <c r="H42" s="32"/>
      <c r="I42" s="30"/>
      <c r="J42" s="163">
        <v>0.149947</v>
      </c>
      <c r="K42" s="163">
        <v>0.27056999999999998</v>
      </c>
      <c r="L42" s="163">
        <v>0</v>
      </c>
      <c r="M42" s="163">
        <v>0</v>
      </c>
      <c r="N42" s="163"/>
      <c r="O42" s="163"/>
      <c r="P42" s="163"/>
      <c r="Q42" s="163"/>
      <c r="R42" s="163"/>
      <c r="S42" s="163"/>
      <c r="T42" s="163"/>
      <c r="U42" s="29"/>
      <c r="V42" s="29"/>
      <c r="W42" s="29"/>
      <c r="X42" s="29"/>
    </row>
    <row r="43" spans="1:24">
      <c r="A43" s="29"/>
      <c r="B43" s="29"/>
      <c r="C43" s="61" t="s">
        <v>198</v>
      </c>
      <c r="D43" s="30" t="s">
        <v>75</v>
      </c>
      <c r="E43" s="30" t="str">
        <f>$E$57</f>
        <v>$millions</v>
      </c>
      <c r="F43" s="160" t="str">
        <f t="shared" si="6"/>
        <v>nominal</v>
      </c>
      <c r="G43" s="32"/>
      <c r="H43" s="32"/>
      <c r="I43" s="30"/>
      <c r="J43" s="163">
        <v>0</v>
      </c>
      <c r="K43" s="163">
        <v>0</v>
      </c>
      <c r="L43" s="163">
        <v>0</v>
      </c>
      <c r="M43" s="163"/>
      <c r="N43" s="163"/>
      <c r="O43" s="163"/>
      <c r="P43" s="163"/>
      <c r="Q43" s="163"/>
      <c r="R43" s="163"/>
      <c r="S43" s="163"/>
      <c r="T43" s="163"/>
      <c r="U43" s="29"/>
      <c r="V43" s="29"/>
      <c r="W43" s="29"/>
      <c r="X43" s="29"/>
    </row>
    <row r="44" spans="1:24">
      <c r="A44" s="29"/>
      <c r="B44" s="29"/>
      <c r="C44" s="61" t="s">
        <v>199</v>
      </c>
      <c r="D44" s="30" t="s">
        <v>75</v>
      </c>
      <c r="E44" s="30" t="str">
        <f>$E$57</f>
        <v>$millions</v>
      </c>
      <c r="F44" s="160" t="str">
        <f t="shared" si="6"/>
        <v>nominal</v>
      </c>
      <c r="G44" s="32"/>
      <c r="H44" s="32"/>
      <c r="I44" s="30"/>
      <c r="J44" s="163">
        <v>-0.99099999999999966</v>
      </c>
      <c r="K44" s="163">
        <v>0.83699999999999997</v>
      </c>
      <c r="L44" s="163">
        <v>0.36099999999999999</v>
      </c>
      <c r="M44" s="163">
        <v>0</v>
      </c>
      <c r="N44" s="163"/>
      <c r="O44" s="163"/>
      <c r="P44" s="163"/>
      <c r="Q44" s="163"/>
      <c r="R44" s="163"/>
      <c r="S44" s="163"/>
      <c r="T44" s="163"/>
      <c r="U44" s="29"/>
      <c r="V44" s="29"/>
      <c r="W44" s="29"/>
      <c r="X44" s="29"/>
    </row>
    <row r="45" spans="1:24">
      <c r="A45" s="29"/>
      <c r="B45" s="29"/>
      <c r="C45" s="61"/>
      <c r="D45" s="30" t="s">
        <v>75</v>
      </c>
      <c r="E45" s="30" t="str">
        <f>$E$57</f>
        <v>$millions</v>
      </c>
      <c r="F45" s="160" t="str">
        <f t="shared" si="6"/>
        <v>nominal</v>
      </c>
      <c r="G45" s="32"/>
      <c r="H45" s="32"/>
      <c r="I45" s="30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29"/>
      <c r="V45" s="29"/>
      <c r="W45" s="29"/>
      <c r="X45" s="29"/>
    </row>
    <row r="46" spans="1:24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141"/>
      <c r="P46" s="141"/>
      <c r="Q46" s="141"/>
      <c r="R46" s="141"/>
      <c r="S46" s="141"/>
      <c r="T46" s="141"/>
      <c r="U46" s="29"/>
      <c r="V46" s="29"/>
      <c r="W46" s="29"/>
      <c r="X46" s="29"/>
    </row>
    <row r="47" spans="1:24">
      <c r="A47" s="29"/>
      <c r="B47" s="29"/>
      <c r="C47" s="139" t="s">
        <v>177</v>
      </c>
      <c r="D47" s="140" t="s">
        <v>30</v>
      </c>
      <c r="E47" s="189" t="str">
        <f>$E$57</f>
        <v>$millions</v>
      </c>
      <c r="F47" s="190" t="str">
        <f>F37</f>
        <v>nominal</v>
      </c>
      <c r="G47" s="32"/>
      <c r="H47" s="32"/>
      <c r="I47" s="30"/>
      <c r="J47" s="129">
        <f>J37-SUM(J41:J45)</f>
        <v>189.05888705525501</v>
      </c>
      <c r="K47" s="129">
        <f t="shared" ref="K47:S47" si="7">K37-SUM(K41:K45)</f>
        <v>197.28516758428822</v>
      </c>
      <c r="L47" s="129">
        <f t="shared" si="7"/>
        <v>199.55074646895594</v>
      </c>
      <c r="M47" s="129">
        <f t="shared" si="7"/>
        <v>205.45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129"/>
      <c r="U47" s="29"/>
      <c r="V47" s="29"/>
      <c r="W47" s="29"/>
      <c r="X47" s="29"/>
    </row>
    <row r="48" spans="1:24">
      <c r="A48" s="29"/>
      <c r="B48" s="29"/>
      <c r="C48" s="29"/>
      <c r="D48" s="30"/>
      <c r="E48" s="30"/>
      <c r="F48" s="30"/>
      <c r="G48" s="30"/>
      <c r="H48" s="30"/>
      <c r="I48" s="30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29"/>
      <c r="V48" s="29"/>
      <c r="W48" s="29"/>
      <c r="X48" s="29"/>
    </row>
    <row r="49" spans="1:24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29"/>
      <c r="V49" s="29"/>
      <c r="W49" s="29"/>
      <c r="X49" s="29"/>
    </row>
    <row r="50" spans="1:24">
      <c r="A50" s="29"/>
      <c r="B50" s="29"/>
      <c r="C50" s="29"/>
      <c r="D50" s="30"/>
      <c r="E50" s="30"/>
      <c r="F50" s="30"/>
      <c r="G50" s="30"/>
      <c r="H50" s="30"/>
      <c r="I50" s="30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29"/>
      <c r="V50" s="29"/>
      <c r="W50" s="29"/>
      <c r="X50" s="29"/>
    </row>
    <row r="51" spans="1:24">
      <c r="A51" s="29"/>
      <c r="B51" s="29"/>
      <c r="C51" s="61" t="s">
        <v>39</v>
      </c>
      <c r="D51" s="203" t="s">
        <v>75</v>
      </c>
      <c r="E51" s="203" t="str">
        <f>$E$57</f>
        <v>$millions</v>
      </c>
      <c r="F51" s="221" t="str">
        <f>$F$57</f>
        <v>nominal</v>
      </c>
      <c r="G51" s="32"/>
      <c r="H51" s="32"/>
      <c r="I51" s="30"/>
      <c r="J51" s="163">
        <v>0.50093576000000006</v>
      </c>
      <c r="K51" s="163">
        <v>0.64476800000000001</v>
      </c>
      <c r="L51" s="163">
        <v>0.54403000000000001</v>
      </c>
      <c r="M51" s="163">
        <v>0.55000000000000004</v>
      </c>
      <c r="N51" s="163"/>
      <c r="O51" s="163"/>
      <c r="P51" s="163"/>
      <c r="Q51" s="163"/>
      <c r="R51" s="163"/>
      <c r="S51" s="163"/>
      <c r="T51" s="163"/>
      <c r="U51" s="29"/>
      <c r="V51" s="29"/>
      <c r="W51" s="29"/>
      <c r="X51" s="29"/>
    </row>
    <row r="52" spans="1:24">
      <c r="A52" s="29"/>
      <c r="B52" s="29"/>
      <c r="C52" s="61" t="s">
        <v>194</v>
      </c>
      <c r="D52" s="203" t="s">
        <v>75</v>
      </c>
      <c r="E52" s="203" t="str">
        <f>$E$57</f>
        <v>$millions</v>
      </c>
      <c r="F52" s="221" t="str">
        <f>$F$57</f>
        <v>nominal</v>
      </c>
      <c r="G52" s="32"/>
      <c r="H52" s="32"/>
      <c r="I52" s="30"/>
      <c r="J52" s="163">
        <v>0</v>
      </c>
      <c r="K52" s="163">
        <v>0</v>
      </c>
      <c r="L52" s="163">
        <v>0</v>
      </c>
      <c r="M52" s="163">
        <v>0</v>
      </c>
      <c r="N52" s="163"/>
      <c r="O52" s="163"/>
      <c r="P52" s="163"/>
      <c r="Q52" s="163"/>
      <c r="R52" s="163"/>
      <c r="S52" s="163"/>
      <c r="T52" s="163"/>
      <c r="U52" s="29"/>
      <c r="V52" s="29"/>
      <c r="W52" s="29"/>
      <c r="X52" s="29"/>
    </row>
    <row r="53" spans="1:24">
      <c r="A53" s="29"/>
      <c r="B53" s="29"/>
      <c r="C53" s="61"/>
      <c r="D53" s="203" t="s">
        <v>75</v>
      </c>
      <c r="E53" s="203" t="str">
        <f>$E$57</f>
        <v>$millions</v>
      </c>
      <c r="F53" s="221" t="str">
        <f>$F$57</f>
        <v>nominal</v>
      </c>
      <c r="G53" s="32"/>
      <c r="H53" s="32"/>
      <c r="I53" s="30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29"/>
      <c r="V53" s="29"/>
      <c r="W53" s="29"/>
      <c r="X53" s="29"/>
    </row>
    <row r="54" spans="1:24">
      <c r="A54" s="29"/>
      <c r="B54" s="29"/>
      <c r="C54" s="61"/>
      <c r="D54" s="203" t="s">
        <v>75</v>
      </c>
      <c r="E54" s="203" t="str">
        <f>$E$57</f>
        <v>$millions</v>
      </c>
      <c r="F54" s="221" t="str">
        <f>$F$57</f>
        <v>nominal</v>
      </c>
      <c r="G54" s="32"/>
      <c r="H54" s="32"/>
      <c r="I54" s="30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29"/>
      <c r="V54" s="29"/>
      <c r="W54" s="29"/>
      <c r="X54" s="29"/>
    </row>
    <row r="55" spans="1:24">
      <c r="A55" s="29"/>
      <c r="B55" s="29"/>
      <c r="C55" s="61"/>
      <c r="D55" s="203" t="s">
        <v>75</v>
      </c>
      <c r="E55" s="203" t="str">
        <f>$E$57</f>
        <v>$millions</v>
      </c>
      <c r="F55" s="221" t="str">
        <f>$F$57</f>
        <v>nominal</v>
      </c>
      <c r="G55" s="32"/>
      <c r="H55" s="32"/>
      <c r="I55" s="30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29"/>
      <c r="V55" s="29"/>
      <c r="W55" s="29"/>
      <c r="X55" s="29"/>
    </row>
    <row r="56" spans="1:24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1"/>
      <c r="O56" s="141"/>
      <c r="P56" s="141"/>
      <c r="Q56" s="141"/>
      <c r="R56" s="141"/>
      <c r="S56" s="141"/>
      <c r="T56" s="141"/>
      <c r="U56" s="29"/>
      <c r="V56" s="29"/>
      <c r="W56" s="29"/>
      <c r="X56" s="29"/>
    </row>
    <row r="57" spans="1:24">
      <c r="A57" s="29"/>
      <c r="B57" s="29"/>
      <c r="C57" s="139" t="s">
        <v>162</v>
      </c>
      <c r="D57" s="140" t="s">
        <v>30</v>
      </c>
      <c r="E57" s="130" t="s">
        <v>15</v>
      </c>
      <c r="F57" s="161" t="s">
        <v>100</v>
      </c>
      <c r="G57" s="32"/>
      <c r="H57" s="32"/>
      <c r="I57" s="30"/>
      <c r="J57" s="185">
        <f>SUM(J51:J55)</f>
        <v>0.50093576000000006</v>
      </c>
      <c r="K57" s="185">
        <f t="shared" ref="K57:S57" si="8">SUM(K51:K55)</f>
        <v>0.64476800000000001</v>
      </c>
      <c r="L57" s="185">
        <f t="shared" si="8"/>
        <v>0.54403000000000001</v>
      </c>
      <c r="M57" s="185">
        <f t="shared" si="8"/>
        <v>0.55000000000000004</v>
      </c>
      <c r="N57" s="185">
        <f t="shared" si="8"/>
        <v>0</v>
      </c>
      <c r="O57" s="185">
        <f t="shared" si="8"/>
        <v>0</v>
      </c>
      <c r="P57" s="185">
        <f t="shared" si="8"/>
        <v>0</v>
      </c>
      <c r="Q57" s="185">
        <f t="shared" si="8"/>
        <v>0</v>
      </c>
      <c r="R57" s="185">
        <f t="shared" si="8"/>
        <v>0</v>
      </c>
      <c r="S57" s="185">
        <f t="shared" si="8"/>
        <v>0</v>
      </c>
      <c r="T57" s="185"/>
      <c r="U57" s="29"/>
      <c r="V57" s="29"/>
      <c r="W57" s="29"/>
      <c r="X57" s="29" t="str">
        <f>IF(COUNTIF(J51:S55,"&lt;0")&gt;0,"Check","Ok")</f>
        <v>Ok</v>
      </c>
    </row>
    <row r="58" spans="1:24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12.75">
      <c r="A59" s="94"/>
      <c r="B59" s="95" t="s">
        <v>112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7"/>
      <c r="W59" s="98"/>
      <c r="X59" s="98"/>
    </row>
    <row r="60" spans="1:24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>
      <c r="A61" s="29"/>
      <c r="B61" s="29"/>
      <c r="C61" s="67" t="s">
        <v>113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8" t="str">
        <f t="shared" ref="J61:S61" si="9">IF(YEAR(J$4)=PPLastYear,J$4,"")</f>
        <v/>
      </c>
      <c r="K61" s="158" t="str">
        <f t="shared" si="9"/>
        <v/>
      </c>
      <c r="L61" s="158" t="str">
        <f t="shared" si="9"/>
        <v/>
      </c>
      <c r="M61" s="158" t="str">
        <f t="shared" si="9"/>
        <v/>
      </c>
      <c r="N61" s="158">
        <f t="shared" si="9"/>
        <v>44713</v>
      </c>
      <c r="O61" s="158" t="str">
        <f t="shared" si="9"/>
        <v/>
      </c>
      <c r="P61" s="158" t="str">
        <f t="shared" si="9"/>
        <v/>
      </c>
      <c r="Q61" s="158" t="str">
        <f t="shared" si="9"/>
        <v/>
      </c>
      <c r="R61" s="158" t="str">
        <f t="shared" si="9"/>
        <v/>
      </c>
      <c r="S61" s="158" t="str">
        <f t="shared" si="9"/>
        <v/>
      </c>
      <c r="T61" s="158"/>
      <c r="U61" s="29"/>
      <c r="V61" s="29"/>
      <c r="W61" s="29"/>
      <c r="X61" s="29"/>
    </row>
    <row r="62" spans="1:24">
      <c r="A62" s="29"/>
      <c r="B62" s="29"/>
      <c r="C62" s="67"/>
      <c r="D62" s="32"/>
      <c r="E62" s="32"/>
      <c r="F62" s="32"/>
      <c r="G62" s="32"/>
      <c r="H62" s="32"/>
      <c r="I62" s="3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29"/>
      <c r="V62" s="29"/>
      <c r="W62" s="29"/>
      <c r="X62" s="29"/>
    </row>
    <row r="63" spans="1:24">
      <c r="A63" s="29"/>
      <c r="B63" s="29"/>
      <c r="C63" s="61" t="s">
        <v>114</v>
      </c>
      <c r="D63" s="30" t="s">
        <v>34</v>
      </c>
      <c r="E63" s="30" t="str">
        <f>$E$57</f>
        <v>$millions</v>
      </c>
      <c r="F63" s="170">
        <v>44348</v>
      </c>
      <c r="G63" s="32"/>
      <c r="H63" s="32"/>
      <c r="I63" s="32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29"/>
      <c r="V63" s="142"/>
      <c r="W63" s="142"/>
      <c r="X63" s="29"/>
    </row>
    <row r="64" spans="1:24">
      <c r="A64" s="29"/>
      <c r="B64" s="29"/>
      <c r="C64" s="61" t="s">
        <v>115</v>
      </c>
      <c r="D64" s="30" t="s">
        <v>34</v>
      </c>
      <c r="E64" s="30" t="str">
        <f t="shared" ref="E64:E69" si="10">$E$57</f>
        <v>$millions</v>
      </c>
      <c r="F64" s="170">
        <v>44348</v>
      </c>
      <c r="G64" s="32"/>
      <c r="H64" s="32"/>
      <c r="I64" s="32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24"/>
      <c r="V64" s="142"/>
      <c r="W64" s="142"/>
      <c r="X64" s="29"/>
    </row>
    <row r="65" spans="1:24">
      <c r="A65" s="29"/>
      <c r="B65" s="29"/>
      <c r="C65" s="61" t="s">
        <v>116</v>
      </c>
      <c r="D65" s="30" t="s">
        <v>34</v>
      </c>
      <c r="E65" s="30" t="str">
        <f t="shared" si="10"/>
        <v>$millions</v>
      </c>
      <c r="F65" s="170">
        <v>44348</v>
      </c>
      <c r="G65" s="32"/>
      <c r="H65" s="32"/>
      <c r="I65" s="32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24"/>
      <c r="V65" s="142"/>
      <c r="W65" s="142"/>
      <c r="X65" s="29"/>
    </row>
    <row r="66" spans="1:24">
      <c r="A66" s="29"/>
      <c r="B66" s="29"/>
      <c r="C66" s="61" t="s">
        <v>117</v>
      </c>
      <c r="D66" s="30" t="s">
        <v>34</v>
      </c>
      <c r="E66" s="30" t="str">
        <f t="shared" si="10"/>
        <v>$millions</v>
      </c>
      <c r="F66" s="170">
        <v>44348</v>
      </c>
      <c r="G66" s="32"/>
      <c r="H66" s="32"/>
      <c r="I66" s="3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24"/>
      <c r="V66" s="142"/>
      <c r="W66" s="142"/>
      <c r="X66" s="29"/>
    </row>
    <row r="67" spans="1:24">
      <c r="A67" s="29"/>
      <c r="B67" s="29"/>
      <c r="C67" s="61" t="s">
        <v>118</v>
      </c>
      <c r="D67" s="30" t="s">
        <v>34</v>
      </c>
      <c r="E67" s="30" t="str">
        <f t="shared" si="10"/>
        <v>$millions</v>
      </c>
      <c r="F67" s="170">
        <v>44348</v>
      </c>
      <c r="G67" s="32"/>
      <c r="H67" s="32"/>
      <c r="I67" s="32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24"/>
      <c r="V67" s="142"/>
      <c r="W67" s="142"/>
      <c r="X67" s="29"/>
    </row>
    <row r="68" spans="1:24" s="102" customFormat="1">
      <c r="A68" s="196"/>
      <c r="B68" s="196"/>
      <c r="C68" s="197"/>
      <c r="D68" s="105"/>
      <c r="E68" s="105"/>
      <c r="F68" s="198"/>
      <c r="G68" s="199"/>
      <c r="H68" s="199"/>
      <c r="I68" s="199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104"/>
      <c r="V68" s="164"/>
      <c r="W68" s="164"/>
      <c r="X68" s="196"/>
    </row>
    <row r="69" spans="1:24">
      <c r="A69" s="29"/>
      <c r="B69" s="29"/>
      <c r="C69" s="61" t="s">
        <v>178</v>
      </c>
      <c r="D69" s="30" t="s">
        <v>34</v>
      </c>
      <c r="E69" s="30" t="str">
        <f t="shared" si="10"/>
        <v>$millions</v>
      </c>
      <c r="F69" s="170">
        <v>44348</v>
      </c>
      <c r="G69" s="32"/>
      <c r="H69" s="32"/>
      <c r="I69" s="32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24"/>
      <c r="V69" s="142"/>
      <c r="W69" s="142"/>
      <c r="X69" s="29"/>
    </row>
    <row r="70" spans="1:24" s="102" customFormat="1">
      <c r="A70" s="196"/>
      <c r="B70" s="196"/>
      <c r="C70" s="197"/>
      <c r="D70" s="105"/>
      <c r="E70" s="105"/>
      <c r="F70" s="198"/>
      <c r="G70" s="199"/>
      <c r="H70" s="199"/>
      <c r="I70" s="199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104"/>
      <c r="V70" s="164"/>
      <c r="W70" s="164"/>
      <c r="X70" s="196"/>
    </row>
    <row r="71" spans="1:24">
      <c r="A71" s="29"/>
      <c r="B71" s="29"/>
      <c r="C71" s="61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124"/>
      <c r="V71" s="142"/>
      <c r="W71" s="142"/>
      <c r="X71" s="29"/>
    </row>
    <row r="72" spans="1:24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ht="12.75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</row>
  </sheetData>
  <conditionalFormatting sqref="X37 X51:X55 X41:X45">
    <cfRule type="cellIs" dxfId="187" priority="62" operator="equal">
      <formula>"Check"</formula>
    </cfRule>
    <cfRule type="cellIs" dxfId="186" priority="63" operator="equal">
      <formula>"Ok"</formula>
    </cfRule>
  </conditionalFormatting>
  <conditionalFormatting sqref="X57">
    <cfRule type="cellIs" dxfId="185" priority="60" operator="equal">
      <formula>"Check"</formula>
    </cfRule>
    <cfRule type="cellIs" dxfId="184" priority="61" operator="equal">
      <formula>"Ok"</formula>
    </cfRule>
  </conditionalFormatting>
  <conditionalFormatting sqref="X15">
    <cfRule type="cellIs" dxfId="183" priority="58" operator="equal">
      <formula>"Check"</formula>
    </cfRule>
    <cfRule type="cellIs" dxfId="182" priority="59" operator="equal">
      <formula>"Ok"</formula>
    </cfRule>
  </conditionalFormatting>
  <conditionalFormatting sqref="W1">
    <cfRule type="cellIs" dxfId="181" priority="56" operator="equal">
      <formula>"Check"</formula>
    </cfRule>
    <cfRule type="cellIs" dxfId="180" priority="57" operator="equal">
      <formula>"Ok"</formula>
    </cfRule>
  </conditionalFormatting>
  <conditionalFormatting sqref="S1">
    <cfRule type="cellIs" dxfId="179" priority="54" operator="equal">
      <formula>"Check"</formula>
    </cfRule>
    <cfRule type="cellIs" dxfId="178" priority="55" operator="equal">
      <formula>"Ok"</formula>
    </cfRule>
  </conditionalFormatting>
  <conditionalFormatting sqref="J15:N15">
    <cfRule type="cellIs" dxfId="177" priority="53" operator="equal">
      <formula>0</formula>
    </cfRule>
  </conditionalFormatting>
  <conditionalFormatting sqref="J57:N57">
    <cfRule type="cellIs" dxfId="176" priority="52" operator="equal">
      <formula>0</formula>
    </cfRule>
  </conditionalFormatting>
  <conditionalFormatting sqref="X48:X50">
    <cfRule type="cellIs" dxfId="175" priority="50" operator="equal">
      <formula>"Check"</formula>
    </cfRule>
    <cfRule type="cellIs" dxfId="174" priority="51" operator="equal">
      <formula>"Ok"</formula>
    </cfRule>
  </conditionalFormatting>
  <conditionalFormatting sqref="J33:N33 N37 J54:J55 J51:N51 J52:M52 J41:N45">
    <cfRule type="expression" dxfId="173" priority="48">
      <formula>J$34=J$4</formula>
    </cfRule>
  </conditionalFormatting>
  <conditionalFormatting sqref="J20:N27 J13:O13">
    <cfRule type="expression" dxfId="172" priority="47">
      <formula>J$10=J$4</formula>
    </cfRule>
  </conditionalFormatting>
  <conditionalFormatting sqref="J37:N37">
    <cfRule type="expression" dxfId="171" priority="44">
      <formula>J$10=J$4</formula>
    </cfRule>
  </conditionalFormatting>
  <conditionalFormatting sqref="X47">
    <cfRule type="cellIs" dxfId="170" priority="42" operator="equal">
      <formula>"Check"</formula>
    </cfRule>
    <cfRule type="cellIs" dxfId="169" priority="43" operator="equal">
      <formula>"Ok"</formula>
    </cfRule>
  </conditionalFormatting>
  <conditionalFormatting sqref="J47:N47">
    <cfRule type="cellIs" dxfId="168" priority="40" operator="equal">
      <formula>0</formula>
    </cfRule>
  </conditionalFormatting>
  <conditionalFormatting sqref="J63:N67 J69:T69 J71:T71">
    <cfRule type="expression" dxfId="167" priority="39">
      <formula>J$61=J$4</formula>
    </cfRule>
  </conditionalFormatting>
  <conditionalFormatting sqref="X29">
    <cfRule type="cellIs" dxfId="166" priority="35" operator="equal">
      <formula>"Check"</formula>
    </cfRule>
    <cfRule type="cellIs" dxfId="165" priority="36" operator="equal">
      <formula>"Ok"</formula>
    </cfRule>
  </conditionalFormatting>
  <conditionalFormatting sqref="J29:N29">
    <cfRule type="cellIs" dxfId="164" priority="34" operator="equal">
      <formula>0</formula>
    </cfRule>
  </conditionalFormatting>
  <conditionalFormatting sqref="T1">
    <cfRule type="cellIs" dxfId="163" priority="27" operator="equal">
      <formula>"Check"</formula>
    </cfRule>
    <cfRule type="cellIs" dxfId="162" priority="28" operator="equal">
      <formula>"Ok"</formula>
    </cfRule>
  </conditionalFormatting>
  <conditionalFormatting sqref="O57:T57">
    <cfRule type="cellIs" dxfId="161" priority="9" operator="equal">
      <formula>0</formula>
    </cfRule>
  </conditionalFormatting>
  <conditionalFormatting sqref="O37:T37">
    <cfRule type="expression" dxfId="160" priority="6">
      <formula>O$10=O$4</formula>
    </cfRule>
  </conditionalFormatting>
  <conditionalFormatting sqref="O47:T47">
    <cfRule type="cellIs" dxfId="159" priority="5" operator="equal">
      <formula>0</formula>
    </cfRule>
  </conditionalFormatting>
  <conditionalFormatting sqref="O63:T67">
    <cfRule type="expression" dxfId="158" priority="4">
      <formula>O$61=O$4</formula>
    </cfRule>
  </conditionalFormatting>
  <conditionalFormatting sqref="O29:T29">
    <cfRule type="cellIs" dxfId="157" priority="3" operator="equal">
      <formula>0</formula>
    </cfRule>
  </conditionalFormatting>
  <conditionalFormatting sqref="O15:T15">
    <cfRule type="cellIs" dxfId="156" priority="10" operator="equal">
      <formula>0</formula>
    </cfRule>
  </conditionalFormatting>
  <conditionalFormatting sqref="O41:T45 O33:T33 O37:T37 O51:T51 O54:T55 P52:T53">
    <cfRule type="expression" dxfId="155" priority="8">
      <formula>O$34=O$4</formula>
    </cfRule>
  </conditionalFormatting>
  <conditionalFormatting sqref="P13:T13 O20:T27 P19:T19">
    <cfRule type="expression" dxfId="154" priority="7">
      <formula>O$10=O$4</formula>
    </cfRule>
  </conditionalFormatting>
  <conditionalFormatting sqref="J19:O19">
    <cfRule type="expression" dxfId="153" priority="2">
      <formula>J$10=J$4</formula>
    </cfRule>
  </conditionalFormatting>
  <conditionalFormatting sqref="J53 O52:O53 K53:N55 N52">
    <cfRule type="expression" dxfId="152" priority="1">
      <formula>J$34=J$4</formula>
    </cfRule>
  </conditionalFormatting>
  <dataValidations count="1">
    <dataValidation type="list" allowBlank="1" showInputMessage="1" showErrorMessage="1" sqref="J33:T33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F63:F70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Y186"/>
  <sheetViews>
    <sheetView showGridLines="0" tabSelected="1" topLeftCell="A16" zoomScale="95" zoomScaleNormal="95" workbookViewId="0">
      <selection activeCell="C54" sqref="C54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4" width="10.83203125" style="29" customWidth="1"/>
    <col min="25" max="16384" width="10.5" style="29" hidden="1"/>
  </cols>
  <sheetData>
    <row r="1" spans="1:51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6" t="s">
        <v>24</v>
      </c>
      <c r="X1" s="76" t="str">
        <f>'Check|List'!$S$1</f>
        <v>Ok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>
      <c r="C3" s="81"/>
      <c r="D3" s="181"/>
      <c r="E3" s="181"/>
      <c r="F3" s="181"/>
      <c r="G3" s="181"/>
      <c r="H3" s="181"/>
      <c r="I3" s="181"/>
      <c r="J3" s="157" t="s">
        <v>123</v>
      </c>
      <c r="K3" s="224"/>
      <c r="L3" s="224"/>
      <c r="M3" s="224"/>
      <c r="N3" s="181"/>
      <c r="O3" s="224"/>
      <c r="P3" s="224"/>
      <c r="Q3" s="224"/>
      <c r="R3" s="224"/>
      <c r="S3" s="224"/>
      <c r="T3" s="224"/>
      <c r="U3" s="215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DATE(PPFirstYear-1,MONTH('Input|General'!$G$9),1)</f>
        <v>42887</v>
      </c>
      <c r="K4" s="155">
        <f>DATE(PPFirstYear,MONTH('Input|General'!$G$9),1)</f>
        <v>43252</v>
      </c>
      <c r="L4" s="155">
        <f>DATE(PPFirstYear+1,MONTH('Input|General'!$G$9),1)</f>
        <v>43617</v>
      </c>
      <c r="M4" s="155">
        <f>DATE(PPFirstYear+2,MONTH('Input|General'!$G$9),1)</f>
        <v>43983</v>
      </c>
      <c r="N4" s="155">
        <f>DATE(PPFirstYear+3,MONTH('Input|General'!$G$9),1)</f>
        <v>44348</v>
      </c>
      <c r="O4" s="155">
        <f>DATE(PPFirstYear+4,MONTH('Input|General'!$G$9),1)</f>
        <v>44713</v>
      </c>
      <c r="P4" s="155">
        <f>DATE(PPFirstYear+5,MONTH('Input|General'!$G$9),1)</f>
        <v>45078</v>
      </c>
      <c r="Q4" s="155">
        <f>DATE(PPFirstYear+6,MONTH('Input|General'!$G$9),1)</f>
        <v>45444</v>
      </c>
      <c r="R4" s="155">
        <f>DATE(PPFirstYear+7,MONTH('Input|General'!$G$9),1)</f>
        <v>45809</v>
      </c>
      <c r="S4" s="155">
        <f>DATE(PPFirstYear+8,MONTH('Input|General'!$G$9),1)</f>
        <v>46174</v>
      </c>
      <c r="T4" s="155">
        <f>DATE(PPFirstYear+9,MONTH('Input|General'!$G$9),1)</f>
        <v>46539</v>
      </c>
      <c r="U4" s="155">
        <f>DATE(PPFirstYear+10,MONTH('Input|General'!$G$9),1)</f>
        <v>46905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8">
        <f t="shared" ref="J10:T10" si="0">IF(YEAR(J$4)&lt;=PPLastYear,J$4,"")</f>
        <v>42887</v>
      </c>
      <c r="K10" s="158">
        <f t="shared" si="0"/>
        <v>43252</v>
      </c>
      <c r="L10" s="158">
        <f t="shared" si="0"/>
        <v>43617</v>
      </c>
      <c r="M10" s="158">
        <f t="shared" si="0"/>
        <v>43983</v>
      </c>
      <c r="N10" s="158">
        <f t="shared" si="0"/>
        <v>44348</v>
      </c>
      <c r="O10" s="158">
        <f t="shared" si="0"/>
        <v>44713</v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 t="str">
        <f t="shared" si="0"/>
        <v/>
      </c>
      <c r="U10" s="162"/>
    </row>
    <row r="11" spans="1:51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  <c r="X11" s="120"/>
    </row>
    <row r="12" spans="1:51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IF(J10=J4,LOOKUP(EOMONTH(J4,0),'Input|Inflation'!$C$9:$C$70,'Input|Inflation'!$G$9:$G$70),"")</f>
        <v>1.9337016574585641E-2</v>
      </c>
      <c r="K12" s="143">
        <f>IF(K10=K4,LOOKUP(EOMONTH(K4,0),'Input|Inflation'!$C$9:$C$70,'Input|Inflation'!$G$9:$G$70),"")</f>
        <v>2.0776874435411097E-2</v>
      </c>
      <c r="L12" s="143">
        <f>IF(L10=L4,LOOKUP(EOMONTH(L4,0),'Input|Inflation'!$C$9:$C$70,'Input|Inflation'!$G$9:$G$70),"")</f>
        <v>1.5929203539823078E-2</v>
      </c>
      <c r="M12" s="143">
        <f>IF(M10=M4,LOOKUP(EOMONTH(M4,0),'Input|Inflation'!$C$9:$C$70,'Input|Inflation'!$G$9:$G$70),"")</f>
        <v>-3.4843205574912606E-3</v>
      </c>
      <c r="N12" s="143">
        <f>IF(N10=N4,LOOKUP(EOMONTH(N4,0),'Input|Inflation'!$C$9:$C$70,'Input|Inflation'!$G$9:$G$70),"")</f>
        <v>3.8461538461538325E-2</v>
      </c>
      <c r="O12" s="143">
        <f>IF(O10=O4,LOOKUP(EOMONTH(O4,0),'Input|Inflation'!$C$9:$C$70,'Input|Inflation'!$G$9:$G$70),"")</f>
        <v>1.4999999999999902E-2</v>
      </c>
      <c r="P12" s="143" t="str">
        <f>IF(P10=P4,LOOKUP(EOMONTH(P4,0),'Input|Inflation'!$C$9:$C$70,'Input|Inflation'!$G$9:$G$70),"")</f>
        <v/>
      </c>
      <c r="Q12" s="143" t="str">
        <f>IF(Q10=Q4,LOOKUP(EOMONTH(Q4,0),'Input|Inflation'!$C$9:$C$70,'Input|Inflation'!$G$9:$G$70),"")</f>
        <v/>
      </c>
      <c r="R12" s="143" t="str">
        <f>IF(R10=R4,LOOKUP(EOMONTH(R4,0),'Input|Inflation'!$C$9:$C$70,'Input|Inflation'!$G$9:$G$70),"")</f>
        <v/>
      </c>
      <c r="S12" s="143" t="str">
        <f>IF(S10=S4,LOOKUP(EOMONTH(S4,0),'Input|Inflation'!$C$9:$C$70,'Input|Inflation'!$G$9:$G$70),"")</f>
        <v/>
      </c>
      <c r="T12" s="143" t="str">
        <f>IF(T10=T4,LOOKUP(EOMONTH(T4,0),'Input|Inflation'!$C$9:$C$70,'Input|Inflation'!$G$9:$G$70),"")</f>
        <v/>
      </c>
      <c r="U12" s="143"/>
      <c r="V12" s="145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8">
        <f t="shared" ref="J14:T14" si="1">IF(YEAR(J$4)&lt;=PPLastYear,J$4,"")</f>
        <v>42887</v>
      </c>
      <c r="K14" s="158">
        <f t="shared" si="1"/>
        <v>43252</v>
      </c>
      <c r="L14" s="158">
        <f t="shared" si="1"/>
        <v>43617</v>
      </c>
      <c r="M14" s="158">
        <f t="shared" si="1"/>
        <v>43983</v>
      </c>
      <c r="N14" s="158">
        <f t="shared" si="1"/>
        <v>44348</v>
      </c>
      <c r="O14" s="158">
        <f t="shared" si="1"/>
        <v>44713</v>
      </c>
      <c r="P14" s="158" t="str">
        <f t="shared" si="1"/>
        <v/>
      </c>
      <c r="Q14" s="158" t="str">
        <f t="shared" si="1"/>
        <v/>
      </c>
      <c r="R14" s="158" t="str">
        <f t="shared" si="1"/>
        <v/>
      </c>
      <c r="S14" s="158" t="str">
        <f t="shared" si="1"/>
        <v/>
      </c>
      <c r="T14" s="158" t="str">
        <f t="shared" si="1"/>
        <v/>
      </c>
      <c r="U14" s="162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5">
        <f t="array" ref="C16:C22">TRANSPOSE(J10:P10)</f>
        <v>42887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1.0207768744354111</v>
      </c>
      <c r="L16" s="22">
        <f t="shared" si="3"/>
        <v>1.0370370370370372</v>
      </c>
      <c r="M16" s="22">
        <f t="shared" si="3"/>
        <v>1.0334236675700093</v>
      </c>
      <c r="N16" s="22">
        <f t="shared" si="3"/>
        <v>1.0731707317073171</v>
      </c>
      <c r="O16" s="22">
        <f t="shared" ref="O16:P16" si="4">IF(AND($C16&gt;O$14,ISNONTEXT($C16)),P16/(1+O$12),IF(AND($C16=O$14,O$14=O$4),1,IF(AND($C16&lt;O$14,O$14=O$4),N16*(1+O$12),0)))</f>
        <v>1.0892682926829267</v>
      </c>
      <c r="P16" s="22">
        <f t="shared" si="4"/>
        <v>0</v>
      </c>
      <c r="Q16" s="207"/>
      <c r="R16" s="207"/>
      <c r="S16" s="207"/>
      <c r="T16" s="207"/>
      <c r="U16" s="207"/>
    </row>
    <row r="17" spans="3:23" ht="11.25" customHeight="1" outlineLevel="1">
      <c r="C17" s="165">
        <v>43252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0.97964601769911497</v>
      </c>
      <c r="K17" s="22">
        <f t="shared" si="6"/>
        <v>1</v>
      </c>
      <c r="L17" s="22">
        <f t="shared" si="6"/>
        <v>1.0159292035398231</v>
      </c>
      <c r="M17" s="22">
        <f t="shared" si="6"/>
        <v>1.0123893805309736</v>
      </c>
      <c r="N17" s="22">
        <f t="shared" si="6"/>
        <v>1.0513274336283187</v>
      </c>
      <c r="O17" s="22">
        <f t="shared" ref="O17:P17" si="7">IF(AND($C17&gt;O$14,ISNONTEXT($C17)),P17/(1+O$12),IF(AND($C17=O$14,O$14=O$4),1,IF(AND($C17&lt;O$14,O$14=O$4),N17*(1+O$12),0)))</f>
        <v>1.0670973451327435</v>
      </c>
      <c r="P17" s="22">
        <f t="shared" si="7"/>
        <v>0</v>
      </c>
      <c r="Q17" s="207"/>
      <c r="R17" s="207"/>
      <c r="S17" s="207"/>
      <c r="T17" s="207"/>
      <c r="U17" s="207"/>
    </row>
    <row r="18" spans="3:23" ht="11.25" customHeight="1" outlineLevel="1">
      <c r="C18" s="165">
        <v>43617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0.96428571428571408</v>
      </c>
      <c r="K18" s="22">
        <f t="shared" si="8"/>
        <v>0.98432055749128911</v>
      </c>
      <c r="L18" s="22">
        <f t="shared" si="8"/>
        <v>1</v>
      </c>
      <c r="M18" s="22">
        <f t="shared" si="8"/>
        <v>0.99651567944250874</v>
      </c>
      <c r="N18" s="22">
        <f t="shared" si="8"/>
        <v>1.0348432055749128</v>
      </c>
      <c r="O18" s="22">
        <f t="shared" ref="O18:P18" si="9">IF(AND($C18&gt;O$14,ISNONTEXT($C18)),P18/(1+O$12),IF(AND($C18=O$14,O$14=O$4),1,IF(AND($C18&lt;O$14,O$14=O$4),N18*(1+O$12),0)))</f>
        <v>1.0503658536585365</v>
      </c>
      <c r="P18" s="22">
        <f t="shared" si="9"/>
        <v>0</v>
      </c>
      <c r="Q18" s="207"/>
      <c r="R18" s="207"/>
      <c r="S18" s="207"/>
      <c r="T18" s="207"/>
      <c r="U18" s="207"/>
    </row>
    <row r="19" spans="3:23" ht="11.25" customHeight="1" outlineLevel="1">
      <c r="C19" s="165">
        <v>43983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0.96765734265734249</v>
      </c>
      <c r="K19" s="22">
        <f t="shared" si="10"/>
        <v>0.9877622377622377</v>
      </c>
      <c r="L19" s="22">
        <f t="shared" si="10"/>
        <v>1.0034965034965035</v>
      </c>
      <c r="M19" s="22">
        <f t="shared" si="10"/>
        <v>1</v>
      </c>
      <c r="N19" s="22">
        <f t="shared" si="10"/>
        <v>1.0384615384615383</v>
      </c>
      <c r="O19" s="22">
        <f t="shared" ref="O19:P19" si="11">IF(AND($C19&gt;O$14,ISNONTEXT($C19)),P19/(1+O$12),IF(AND($C19=O$14,O$14=O$4),1,IF(AND($C19&lt;O$14,O$14=O$4),N19*(1+O$12),0)))</f>
        <v>1.0540384615384613</v>
      </c>
      <c r="P19" s="22">
        <f t="shared" si="11"/>
        <v>0</v>
      </c>
      <c r="Q19" s="207"/>
      <c r="R19" s="207"/>
      <c r="S19" s="207"/>
      <c r="T19" s="207"/>
      <c r="U19" s="207"/>
    </row>
    <row r="20" spans="3:23" ht="11.25" customHeight="1" outlineLevel="1">
      <c r="C20" s="165">
        <v>44348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0.93181818181818177</v>
      </c>
      <c r="K20" s="22">
        <f t="shared" ref="K20:N20" si="12">IF(AND($C20&gt;K$14,ISNONTEXT($C20)),L20/(1+L$12),IF(AND($C20=K$14,K$14=K$4),1,IF(AND($C20&lt;K$14,K$14=K$4),J20*(1+K$12),0)))</f>
        <v>0.95117845117845123</v>
      </c>
      <c r="L20" s="22">
        <f t="shared" si="12"/>
        <v>0.96632996632996648</v>
      </c>
      <c r="M20" s="22">
        <f t="shared" si="12"/>
        <v>0.96296296296296313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1.0149999999999999</v>
      </c>
      <c r="P20" s="22">
        <f t="shared" si="13"/>
        <v>0</v>
      </c>
      <c r="Q20" s="207"/>
      <c r="R20" s="207"/>
      <c r="S20" s="207"/>
      <c r="T20" s="207"/>
      <c r="U20" s="207"/>
    </row>
    <row r="21" spans="3:23" ht="11.25" customHeight="1" outlineLevel="1">
      <c r="C21" s="165">
        <v>44713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0.91804746977160778</v>
      </c>
      <c r="K21" s="22">
        <f t="shared" ref="K21:K22" si="14">IF(AND($C21&gt;K$14,ISNONTEXT($C21)),L21/(1+L$12),IF(AND($C21=K$14,K$14=K$4),1,IF(AND($C21&lt;K$14,K$14=K$4),J21*(1+K$12),0)))</f>
        <v>0.93712162677679933</v>
      </c>
      <c r="L21" s="22">
        <f t="shared" ref="L21:L22" si="15">IF(AND($C21&gt;L$14,ISNONTEXT($C21)),M21/(1+M$12),IF(AND($C21=L$14,L$14=L$4),1,IF(AND($C21&lt;L$14,L$14=L$4),K21*(1+L$12),0)))</f>
        <v>0.95204922791129709</v>
      </c>
      <c r="M21" s="22">
        <f t="shared" ref="M21:M22" si="16">IF(AND($C21&gt;M$14,ISNONTEXT($C21)),N21/(1+N$12),IF(AND($C21=M$14,M$14=M$4),1,IF(AND($C21&lt;M$14,M$14=M$4),L21*(1+M$12),0)))</f>
        <v>0.94873198321474206</v>
      </c>
      <c r="N21" s="22">
        <f t="shared" ref="N21:N22" si="17">IF(AND($C21&gt;N$14,ISNONTEXT($C21)),O21/(1+O$12),IF(AND($C21=N$14,N$14=N$4),1,IF(AND($C21&lt;N$14,N$14=N$4),M21*(1+N$12),0)))</f>
        <v>0.98522167487684742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207"/>
      <c r="R21" s="207"/>
      <c r="S21" s="207"/>
      <c r="T21" s="207"/>
      <c r="U21" s="207"/>
    </row>
    <row r="22" spans="3:23" ht="11.25" customHeight="1" outlineLevel="1">
      <c r="C22" s="165" t="str">
        <v/>
      </c>
      <c r="D22" s="144" t="str">
        <f>IF(ISNONTEXT($C22),"calculated","")</f>
        <v/>
      </c>
      <c r="E22" s="30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207"/>
      <c r="R22" s="207"/>
      <c r="S22" s="207"/>
      <c r="T22" s="207"/>
      <c r="U22" s="207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8">
        <f t="shared" ref="J24:T24" si="20">IF(YEAR(J$4)&lt;=PPLastYear,J$4,"")</f>
        <v>42887</v>
      </c>
      <c r="K24" s="158">
        <f t="shared" si="20"/>
        <v>43252</v>
      </c>
      <c r="L24" s="158">
        <f t="shared" si="20"/>
        <v>43617</v>
      </c>
      <c r="M24" s="158">
        <f t="shared" si="20"/>
        <v>43983</v>
      </c>
      <c r="N24" s="158">
        <f t="shared" si="20"/>
        <v>44348</v>
      </c>
      <c r="O24" s="158">
        <f t="shared" si="20"/>
        <v>44713</v>
      </c>
      <c r="P24" s="158" t="str">
        <f t="shared" si="20"/>
        <v/>
      </c>
      <c r="Q24" s="158" t="str">
        <f t="shared" si="20"/>
        <v/>
      </c>
      <c r="R24" s="158" t="str">
        <f t="shared" si="20"/>
        <v/>
      </c>
      <c r="S24" s="158" t="str">
        <f t="shared" si="20"/>
        <v/>
      </c>
      <c r="T24" s="158" t="str">
        <f t="shared" si="20"/>
        <v/>
      </c>
      <c r="U24" s="162"/>
    </row>
    <row r="25" spans="3:23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3" ht="11.25" customHeight="1" outlineLevel="1">
      <c r="C26" s="165">
        <f t="array" ref="C26:C32">TRANSPOSE(J10:P10)</f>
        <v>42887</v>
      </c>
      <c r="D26" s="144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1.0096222147786693</v>
      </c>
      <c r="K26" s="22">
        <f t="shared" ref="K26:T26" si="22">IF(AND(K$24=K$4,ISNONTEXT($C26)),1/K16*(1+K$12)^0.5,0)</f>
        <v>0.98977068945241797</v>
      </c>
      <c r="L26" s="22">
        <f t="shared" si="22"/>
        <v>0.97193552251378601</v>
      </c>
      <c r="M26" s="22">
        <f t="shared" si="22"/>
        <v>0.96597005742836117</v>
      </c>
      <c r="N26" s="22">
        <f t="shared" si="22"/>
        <v>0.9495686945439904</v>
      </c>
      <c r="O26" s="22">
        <f t="shared" si="22"/>
        <v>0.92490719756382145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6"/>
      <c r="W26" s="146"/>
    </row>
    <row r="27" spans="3:23" ht="11.25" customHeight="1" outlineLevel="1">
      <c r="C27" s="165">
        <v>43252</v>
      </c>
      <c r="D27" s="144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1.0305990087623274</v>
      </c>
      <c r="K27" s="22">
        <f t="shared" si="24"/>
        <v>1.0103350307870211</v>
      </c>
      <c r="L27" s="22">
        <f t="shared" si="24"/>
        <v>0.99212930482437067</v>
      </c>
      <c r="M27" s="22">
        <f t="shared" si="24"/>
        <v>0.98603989601991704</v>
      </c>
      <c r="N27" s="22">
        <f t="shared" si="24"/>
        <v>0.96929776407832791</v>
      </c>
      <c r="O27" s="22">
        <f t="shared" si="24"/>
        <v>0.94412387827201272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6"/>
      <c r="W27" s="146"/>
    </row>
    <row r="28" spans="3:23" ht="11.25" customHeight="1" outlineLevel="1">
      <c r="C28" s="165">
        <v>43617</v>
      </c>
      <c r="D28" s="144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1.0470156301408424</v>
      </c>
      <c r="K28" s="22">
        <f t="shared" si="25"/>
        <v>1.0264288631358409</v>
      </c>
      <c r="L28" s="22">
        <f t="shared" si="25"/>
        <v>1.0079331344587412</v>
      </c>
      <c r="M28" s="22">
        <f t="shared" si="25"/>
        <v>1.0017467262220046</v>
      </c>
      <c r="N28" s="22">
        <f t="shared" si="25"/>
        <v>0.98473790545302708</v>
      </c>
      <c r="O28" s="22">
        <f t="shared" si="25"/>
        <v>0.95916301969581486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6"/>
      <c r="W28" s="146"/>
    </row>
    <row r="29" spans="3:23" ht="11.25" customHeight="1" outlineLevel="1">
      <c r="C29" s="165">
        <v>43983</v>
      </c>
      <c r="D29" s="144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1.043367492056728</v>
      </c>
      <c r="K29" s="22">
        <f t="shared" si="26"/>
        <v>1.0228524559472145</v>
      </c>
      <c r="L29" s="22">
        <f t="shared" si="26"/>
        <v>1.0044211723177698</v>
      </c>
      <c r="M29" s="22">
        <f t="shared" si="26"/>
        <v>0.99825631951042948</v>
      </c>
      <c r="N29" s="22">
        <f t="shared" si="26"/>
        <v>0.98130676292531638</v>
      </c>
      <c r="O29" s="22">
        <f t="shared" si="26"/>
        <v>0.95582098826830353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6"/>
      <c r="W29" s="146"/>
    </row>
    <row r="30" spans="3:23" ht="11.25" customHeight="1" outlineLevel="1">
      <c r="C30" s="165">
        <v>44348</v>
      </c>
      <c r="D30" s="144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1.0834970109819866</v>
      </c>
      <c r="K30" s="22">
        <f t="shared" si="27"/>
        <v>1.0621929350221071</v>
      </c>
      <c r="L30" s="22">
        <f t="shared" si="27"/>
        <v>1.0430527558684535</v>
      </c>
      <c r="M30" s="22">
        <f t="shared" si="27"/>
        <v>1.0366507933377536</v>
      </c>
      <c r="N30" s="22">
        <f t="shared" si="27"/>
        <v>1.019049330730136</v>
      </c>
      <c r="O30" s="22">
        <f t="shared" si="27"/>
        <v>0.99258333397093046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6"/>
      <c r="W30" s="146"/>
    </row>
    <row r="31" spans="3:23" ht="11.25" customHeight="1" outlineLevel="1">
      <c r="C31" s="165">
        <v>44713</v>
      </c>
      <c r="D31" s="144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1.0997494661467162</v>
      </c>
      <c r="K31" s="22">
        <f t="shared" si="28"/>
        <v>1.0781258290474387</v>
      </c>
      <c r="L31" s="22">
        <f t="shared" si="28"/>
        <v>1.05869854720648</v>
      </c>
      <c r="M31" s="22">
        <f t="shared" si="28"/>
        <v>1.0522005552378197</v>
      </c>
      <c r="N31" s="22">
        <f t="shared" si="28"/>
        <v>1.0343350706910879</v>
      </c>
      <c r="O31" s="22">
        <f t="shared" si="28"/>
        <v>1.0074720839804943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6"/>
      <c r="W31" s="146"/>
    </row>
    <row r="32" spans="3:23" ht="11.25" customHeight="1" outlineLevel="1">
      <c r="C32" s="165" t="str">
        <v/>
      </c>
      <c r="D32" s="144" t="str">
        <f t="shared" si="21"/>
        <v/>
      </c>
      <c r="E32" s="30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6"/>
      <c r="W32" s="146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2.75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62" t="str">
        <f t="shared" ref="J36:U36" si="29">IF(YEAR(J$4)&gt;=FPFirstYear,IF(YEAR(J$4)&lt;=FPLastYear,J$4,""),"")</f>
        <v/>
      </c>
      <c r="K36" s="162" t="str">
        <f t="shared" si="29"/>
        <v/>
      </c>
      <c r="L36" s="162" t="str">
        <f t="shared" si="29"/>
        <v/>
      </c>
      <c r="M36" s="162" t="str">
        <f t="shared" si="29"/>
        <v/>
      </c>
      <c r="N36" s="162" t="str">
        <f t="shared" si="29"/>
        <v/>
      </c>
      <c r="O36" s="162" t="str">
        <f t="shared" si="29"/>
        <v/>
      </c>
      <c r="P36" s="162">
        <f t="shared" si="29"/>
        <v>45078</v>
      </c>
      <c r="Q36" s="162">
        <f t="shared" si="29"/>
        <v>45444</v>
      </c>
      <c r="R36" s="162">
        <f t="shared" si="29"/>
        <v>45809</v>
      </c>
      <c r="S36" s="162">
        <f t="shared" si="29"/>
        <v>46174</v>
      </c>
      <c r="T36" s="162">
        <f t="shared" si="29"/>
        <v>46539</v>
      </c>
      <c r="U36" s="162" t="str">
        <f t="shared" si="29"/>
        <v/>
      </c>
    </row>
    <row r="37" spans="1:51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51" ht="11.25" customHeight="1" outlineLevel="1">
      <c r="C38" s="61" t="s">
        <v>122</v>
      </c>
      <c r="D38" s="30" t="s">
        <v>101</v>
      </c>
      <c r="E38" s="30" t="str">
        <f t="shared" ref="E38:E45" si="30">percent</f>
        <v>Per cent</v>
      </c>
      <c r="J38" s="203"/>
      <c r="K38" s="152"/>
      <c r="L38" s="152"/>
      <c r="M38" s="152"/>
      <c r="N38" s="152"/>
      <c r="O38" s="152"/>
      <c r="P38" s="223">
        <v>-1.1974805741439276E-3</v>
      </c>
      <c r="Q38" s="223">
        <v>-1.0128062418823802E-4</v>
      </c>
      <c r="R38" s="223">
        <v>4.579359401106764E-4</v>
      </c>
      <c r="S38" s="223">
        <v>9.7401490693527215E-4</v>
      </c>
      <c r="T38" s="223">
        <v>3.526132280140315E-3</v>
      </c>
    </row>
    <row r="39" spans="1:51" ht="11.25" customHeight="1" outlineLevel="1">
      <c r="C39" s="218" t="s">
        <v>207</v>
      </c>
      <c r="D39" s="30" t="s">
        <v>101</v>
      </c>
      <c r="E39" s="30" t="str">
        <f t="shared" si="30"/>
        <v>Per cent</v>
      </c>
      <c r="J39" s="203"/>
      <c r="K39" s="152"/>
      <c r="L39" s="152"/>
      <c r="M39" s="152"/>
      <c r="N39" s="152"/>
      <c r="O39" s="152"/>
      <c r="P39" s="223">
        <v>6.0000000000000001E-3</v>
      </c>
      <c r="Q39" s="223">
        <v>5.0000000000000001E-3</v>
      </c>
      <c r="R39" s="223">
        <v>8.0000000000000002E-3</v>
      </c>
      <c r="S39" s="223">
        <v>8.0000000000000002E-3</v>
      </c>
      <c r="T39" s="223">
        <v>8.9999999999999993E-3</v>
      </c>
    </row>
    <row r="40" spans="1:51" ht="11.25" customHeight="1" outlineLevel="1">
      <c r="C40" s="61" t="s">
        <v>208</v>
      </c>
      <c r="D40" s="30" t="s">
        <v>101</v>
      </c>
      <c r="E40" s="30" t="str">
        <f t="shared" si="30"/>
        <v>Per cent</v>
      </c>
      <c r="J40" s="203"/>
      <c r="K40" s="152"/>
      <c r="L40" s="152"/>
      <c r="M40" s="152"/>
      <c r="N40" s="152"/>
      <c r="O40" s="152"/>
      <c r="P40" s="223">
        <f>AVERAGE(P38:P39)</f>
        <v>2.4012597129280363E-3</v>
      </c>
      <c r="Q40" s="223">
        <f t="shared" ref="Q40:T40" si="31">AVERAGE(Q38:Q39)</f>
        <v>2.449359687905881E-3</v>
      </c>
      <c r="R40" s="223">
        <f t="shared" si="31"/>
        <v>4.2289679700553383E-3</v>
      </c>
      <c r="S40" s="223">
        <f t="shared" si="31"/>
        <v>4.4870074534676362E-3</v>
      </c>
      <c r="T40" s="223">
        <f t="shared" si="31"/>
        <v>6.2630661400701572E-3</v>
      </c>
    </row>
    <row r="41" spans="1:51" ht="11.25" customHeight="1" outlineLevel="1">
      <c r="C41" s="61" t="s">
        <v>196</v>
      </c>
      <c r="D41" s="30" t="s">
        <v>101</v>
      </c>
      <c r="E41" s="30" t="str">
        <f t="shared" si="30"/>
        <v>Per cent</v>
      </c>
      <c r="J41" s="203"/>
      <c r="K41" s="152"/>
      <c r="L41" s="152"/>
      <c r="M41" s="152"/>
      <c r="N41" s="152"/>
      <c r="O41" s="152"/>
      <c r="P41" s="223">
        <v>5.0000000000000001E-3</v>
      </c>
      <c r="Q41" s="223">
        <v>5.0000000000000001E-3</v>
      </c>
      <c r="R41" s="223">
        <v>5.0000000000000001E-3</v>
      </c>
      <c r="S41" s="223">
        <v>5.0000000000000001E-3</v>
      </c>
      <c r="T41" s="223">
        <v>0</v>
      </c>
      <c r="U41" s="222"/>
      <c r="V41" s="147"/>
    </row>
    <row r="42" spans="1:51" ht="11.25" customHeight="1" outlineLevel="1">
      <c r="C42" s="61" t="s">
        <v>197</v>
      </c>
      <c r="D42" s="30" t="s">
        <v>101</v>
      </c>
      <c r="E42" s="30" t="str">
        <f t="shared" si="30"/>
        <v>Per cent</v>
      </c>
      <c r="J42" s="203"/>
      <c r="K42" s="152"/>
      <c r="L42" s="152"/>
      <c r="M42" s="152"/>
      <c r="N42" s="152"/>
      <c r="O42" s="152"/>
      <c r="P42" s="223">
        <f>P41+P40</f>
        <v>7.4012597129280364E-3</v>
      </c>
      <c r="Q42" s="223">
        <f t="shared" ref="Q42:T42" si="32">Q41+Q40</f>
        <v>7.4493596879058807E-3</v>
      </c>
      <c r="R42" s="223">
        <f t="shared" si="32"/>
        <v>9.2289679700553393E-3</v>
      </c>
      <c r="S42" s="223">
        <f t="shared" si="32"/>
        <v>9.4870074534676371E-3</v>
      </c>
      <c r="T42" s="223">
        <f t="shared" si="32"/>
        <v>6.2630661400701572E-3</v>
      </c>
      <c r="U42" s="222"/>
    </row>
    <row r="43" spans="1:51" ht="11.25" customHeight="1" outlineLevel="1">
      <c r="C43" s="61"/>
      <c r="D43" s="30" t="s">
        <v>101</v>
      </c>
      <c r="E43" s="30" t="str">
        <f t="shared" si="30"/>
        <v>Per cent</v>
      </c>
      <c r="J43" s="203"/>
      <c r="K43" s="152"/>
      <c r="L43" s="152"/>
      <c r="M43" s="152"/>
      <c r="N43" s="152"/>
      <c r="O43" s="152"/>
      <c r="P43" s="223"/>
      <c r="Q43" s="223"/>
      <c r="R43" s="223"/>
      <c r="S43" s="223"/>
      <c r="T43" s="223"/>
      <c r="U43" s="222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203"/>
      <c r="K44" s="152"/>
      <c r="L44" s="152"/>
      <c r="M44" s="152"/>
      <c r="N44" s="152"/>
      <c r="O44" s="152"/>
      <c r="P44" s="223"/>
      <c r="Q44" s="223"/>
      <c r="R44" s="223"/>
      <c r="S44" s="223"/>
      <c r="T44" s="223"/>
      <c r="U44" s="222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203"/>
      <c r="K45" s="152"/>
      <c r="L45" s="152"/>
      <c r="M45" s="152"/>
      <c r="N45" s="152"/>
      <c r="O45" s="152"/>
      <c r="P45" s="223">
        <v>0</v>
      </c>
      <c r="Q45" s="223">
        <v>0</v>
      </c>
      <c r="R45" s="223">
        <v>0</v>
      </c>
      <c r="S45" s="223">
        <v>0</v>
      </c>
      <c r="T45" s="223">
        <v>0</v>
      </c>
      <c r="U45" s="222"/>
    </row>
    <row r="46" spans="1:51" ht="11.25" customHeight="1" outlineLevel="1"/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3">IF(J36=J4,IF(COUNTA($C38:$C45)=COUNT(J38:J45),"Ok","Check"),"")</f>
        <v/>
      </c>
      <c r="K47" s="132" t="str">
        <f t="shared" si="33"/>
        <v/>
      </c>
      <c r="L47" s="132" t="str">
        <f t="shared" si="33"/>
        <v/>
      </c>
      <c r="M47" s="132" t="str">
        <f t="shared" si="33"/>
        <v/>
      </c>
      <c r="N47" s="132" t="str">
        <f t="shared" si="33"/>
        <v/>
      </c>
      <c r="O47" s="132" t="str">
        <f t="shared" si="33"/>
        <v/>
      </c>
      <c r="P47" s="132" t="str">
        <f t="shared" si="33"/>
        <v>Ok</v>
      </c>
      <c r="Q47" s="132" t="str">
        <f t="shared" si="33"/>
        <v>Ok</v>
      </c>
      <c r="R47" s="132" t="str">
        <f t="shared" si="33"/>
        <v>Ok</v>
      </c>
      <c r="S47" s="132" t="str">
        <f t="shared" si="33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/>
      </c>
      <c r="V47" s="24"/>
      <c r="X47" s="131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7" t="s">
        <v>43</v>
      </c>
      <c r="D49" s="32" t="s">
        <v>7</v>
      </c>
      <c r="E49" s="32" t="s">
        <v>8</v>
      </c>
      <c r="J49" s="162" t="str">
        <f t="shared" ref="J49:U49" si="34">IF(YEAR(J$4)&gt;=FPFirstYear,IF(YEAR(J$4)&lt;=FPLastYear,J$4,""),"")</f>
        <v/>
      </c>
      <c r="K49" s="162" t="str">
        <f t="shared" si="34"/>
        <v/>
      </c>
      <c r="L49" s="162" t="str">
        <f t="shared" si="34"/>
        <v/>
      </c>
      <c r="M49" s="162" t="str">
        <f t="shared" si="34"/>
        <v/>
      </c>
      <c r="N49" s="162" t="str">
        <f t="shared" si="34"/>
        <v/>
      </c>
      <c r="O49" s="162" t="str">
        <f t="shared" si="34"/>
        <v/>
      </c>
      <c r="P49" s="162">
        <f t="shared" si="34"/>
        <v>45078</v>
      </c>
      <c r="Q49" s="162">
        <f t="shared" si="34"/>
        <v>45444</v>
      </c>
      <c r="R49" s="162">
        <f t="shared" si="34"/>
        <v>45809</v>
      </c>
      <c r="S49" s="162">
        <f t="shared" si="34"/>
        <v>46174</v>
      </c>
      <c r="T49" s="162">
        <f t="shared" si="34"/>
        <v>46539</v>
      </c>
      <c r="U49" s="162" t="str">
        <f t="shared" si="34"/>
        <v/>
      </c>
    </row>
    <row r="50" spans="1:51" ht="11.25" customHeight="1" outlineLevel="1"/>
    <row r="51" spans="1:51" ht="11.25" customHeight="1" outlineLevel="1">
      <c r="C51" s="148" t="str">
        <f t="shared" ref="C51:C58" si="35">C38</f>
        <v>WPI - DAE</v>
      </c>
      <c r="D51" s="30" t="s">
        <v>101</v>
      </c>
      <c r="E51" s="30" t="str">
        <f t="shared" ref="E51:E58" si="36">percent</f>
        <v>Per cent</v>
      </c>
      <c r="J51" s="203"/>
      <c r="K51" s="152"/>
      <c r="L51" s="152"/>
      <c r="M51" s="152"/>
      <c r="N51" s="152"/>
      <c r="O51" s="152"/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168"/>
    </row>
    <row r="52" spans="1:51" ht="11.25" customHeight="1" outlineLevel="1">
      <c r="C52" s="148" t="str">
        <f t="shared" si="35"/>
        <v xml:space="preserve">WPI - BIS Oxford </v>
      </c>
      <c r="D52" s="30" t="s">
        <v>101</v>
      </c>
      <c r="E52" s="30" t="str">
        <f t="shared" si="36"/>
        <v>Per cent</v>
      </c>
      <c r="J52" s="203"/>
      <c r="K52" s="152"/>
      <c r="L52" s="152"/>
      <c r="M52" s="152"/>
      <c r="N52" s="152"/>
      <c r="O52" s="152"/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168"/>
    </row>
    <row r="53" spans="1:51" ht="11.25" customHeight="1" outlineLevel="1">
      <c r="C53" s="148" t="str">
        <f t="shared" si="35"/>
        <v>WPI - average of DAE and BISOE</v>
      </c>
      <c r="D53" s="30" t="s">
        <v>101</v>
      </c>
      <c r="E53" s="30" t="str">
        <f t="shared" si="36"/>
        <v>Per cent</v>
      </c>
      <c r="J53" s="203"/>
      <c r="K53" s="152"/>
      <c r="L53" s="152"/>
      <c r="M53" s="152"/>
      <c r="N53" s="152"/>
      <c r="O53" s="152"/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168"/>
    </row>
    <row r="54" spans="1:51" ht="11.25" customHeight="1" outlineLevel="1">
      <c r="C54" s="148" t="str">
        <f t="shared" si="35"/>
        <v>Superannuation guarantee increases</v>
      </c>
      <c r="D54" s="30" t="s">
        <v>101</v>
      </c>
      <c r="E54" s="30" t="str">
        <f t="shared" si="36"/>
        <v>Per cent</v>
      </c>
      <c r="J54" s="203"/>
      <c r="K54" s="152"/>
      <c r="L54" s="152"/>
      <c r="M54" s="152"/>
      <c r="N54" s="152"/>
      <c r="O54" s="152"/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168"/>
      <c r="V54" s="147"/>
    </row>
    <row r="55" spans="1:51" ht="11.25" customHeight="1" outlineLevel="1">
      <c r="C55" s="148" t="str">
        <f t="shared" si="35"/>
        <v>WPI - average + super guarantee increases</v>
      </c>
      <c r="D55" s="30" t="s">
        <v>101</v>
      </c>
      <c r="E55" s="30" t="str">
        <f t="shared" si="36"/>
        <v>Per cent</v>
      </c>
      <c r="J55" s="203"/>
      <c r="K55" s="152"/>
      <c r="L55" s="152"/>
      <c r="M55" s="152"/>
      <c r="N55" s="152"/>
      <c r="O55" s="152"/>
      <c r="P55" s="201">
        <v>0.70399999999999996</v>
      </c>
      <c r="Q55" s="201">
        <v>0.70399999999999996</v>
      </c>
      <c r="R55" s="201">
        <v>0.70399999999999996</v>
      </c>
      <c r="S55" s="201">
        <v>0.70399999999999996</v>
      </c>
      <c r="T55" s="201">
        <v>0.70399999999999996</v>
      </c>
      <c r="U55" s="168"/>
    </row>
    <row r="56" spans="1:51" ht="11.25" customHeight="1" outlineLevel="1">
      <c r="C56" s="148">
        <f t="shared" si="35"/>
        <v>0</v>
      </c>
      <c r="D56" s="30" t="s">
        <v>101</v>
      </c>
      <c r="E56" s="30" t="str">
        <f t="shared" si="36"/>
        <v>Per cent</v>
      </c>
      <c r="J56" s="203"/>
      <c r="K56" s="152"/>
      <c r="L56" s="152"/>
      <c r="M56" s="152"/>
      <c r="N56" s="152"/>
      <c r="O56" s="152"/>
      <c r="P56" s="201"/>
      <c r="Q56" s="201"/>
      <c r="R56" s="201"/>
      <c r="S56" s="201"/>
      <c r="T56" s="201"/>
      <c r="U56" s="168"/>
    </row>
    <row r="57" spans="1:51" ht="11.25" customHeight="1" outlineLevel="1">
      <c r="C57" s="148">
        <f t="shared" si="35"/>
        <v>0</v>
      </c>
      <c r="D57" s="30" t="s">
        <v>101</v>
      </c>
      <c r="E57" s="30" t="str">
        <f t="shared" si="36"/>
        <v>Per cent</v>
      </c>
      <c r="J57" s="203"/>
      <c r="K57" s="152"/>
      <c r="L57" s="152"/>
      <c r="M57" s="152"/>
      <c r="N57" s="152"/>
      <c r="O57" s="152"/>
      <c r="P57" s="201"/>
      <c r="Q57" s="201"/>
      <c r="R57" s="201"/>
      <c r="S57" s="201"/>
      <c r="T57" s="201"/>
      <c r="U57" s="168"/>
    </row>
    <row r="58" spans="1:51" ht="11.25" customHeight="1" outlineLevel="1">
      <c r="C58" s="148" t="str">
        <f t="shared" si="35"/>
        <v>CPI</v>
      </c>
      <c r="D58" s="30" t="s">
        <v>101</v>
      </c>
      <c r="E58" s="30" t="str">
        <f t="shared" si="36"/>
        <v>Per cent</v>
      </c>
      <c r="J58" s="203"/>
      <c r="K58" s="152"/>
      <c r="L58" s="152"/>
      <c r="M58" s="152"/>
      <c r="N58" s="152"/>
      <c r="O58" s="152"/>
      <c r="P58" s="201">
        <v>0.29600000000000004</v>
      </c>
      <c r="Q58" s="201">
        <v>0.29600000000000004</v>
      </c>
      <c r="R58" s="201">
        <v>0.29600000000000004</v>
      </c>
      <c r="S58" s="201">
        <v>0.29600000000000004</v>
      </c>
      <c r="T58" s="201">
        <v>0.29600000000000004</v>
      </c>
      <c r="U58" s="168"/>
    </row>
    <row r="59" spans="1:51" ht="11.25" customHeight="1" outlineLevel="1"/>
    <row r="60" spans="1:51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 t="str">
        <f t="shared" ref="J60:S60" si="37">IF(J49=J$4,IF(SUM(J51:J58)=1,"Ok","Check"),"")</f>
        <v/>
      </c>
      <c r="K60" s="132" t="str">
        <f t="shared" si="37"/>
        <v/>
      </c>
      <c r="L60" s="132" t="str">
        <f t="shared" si="37"/>
        <v/>
      </c>
      <c r="M60" s="132" t="str">
        <f t="shared" si="37"/>
        <v/>
      </c>
      <c r="N60" s="132" t="str">
        <f t="shared" si="37"/>
        <v/>
      </c>
      <c r="O60" s="132" t="str">
        <f t="shared" si="37"/>
        <v/>
      </c>
      <c r="P60" s="132" t="str">
        <f t="shared" si="37"/>
        <v>Ok</v>
      </c>
      <c r="Q60" s="132" t="str">
        <f t="shared" si="37"/>
        <v>Ok</v>
      </c>
      <c r="R60" s="132" t="str">
        <f t="shared" si="37"/>
        <v>Ok</v>
      </c>
      <c r="S60" s="132" t="str">
        <f t="shared" si="37"/>
        <v>Ok</v>
      </c>
      <c r="T60" s="132" t="str">
        <f>IF(T49=T$4,IF(SUM(T51:T58)=1,"Ok","Check"),"")</f>
        <v>Ok</v>
      </c>
      <c r="U60" s="132" t="str">
        <f>IF(U49=U$4,IF(SUM(U51:U58)=1,"Ok","Check"),"")</f>
        <v/>
      </c>
      <c r="V60" s="24"/>
      <c r="X60" s="131" t="str">
        <f>IF(COUNTIF(J60:U60,"Check")=0,"Ok","Check")</f>
        <v>Ok</v>
      </c>
    </row>
    <row r="61" spans="1:51"/>
    <row r="62" spans="1:51" s="103" customFormat="1" ht="12.75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62" t="str">
        <f t="shared" ref="J64:U64" si="38">IF(YEAR(J$4)&gt;=PPLastYear,IF(YEAR(J$4)&lt;=FPLastYear,J$4,""),"")</f>
        <v/>
      </c>
      <c r="K64" s="162" t="str">
        <f t="shared" si="38"/>
        <v/>
      </c>
      <c r="L64" s="162" t="str">
        <f t="shared" si="38"/>
        <v/>
      </c>
      <c r="M64" s="162" t="str">
        <f t="shared" si="38"/>
        <v/>
      </c>
      <c r="N64" s="162" t="str">
        <f t="shared" si="38"/>
        <v/>
      </c>
      <c r="O64" s="162">
        <f t="shared" si="38"/>
        <v>44713</v>
      </c>
      <c r="P64" s="162">
        <f t="shared" si="38"/>
        <v>45078</v>
      </c>
      <c r="Q64" s="162">
        <f t="shared" si="38"/>
        <v>45444</v>
      </c>
      <c r="R64" s="162">
        <f t="shared" si="38"/>
        <v>45809</v>
      </c>
      <c r="S64" s="162">
        <f t="shared" si="38"/>
        <v>46174</v>
      </c>
      <c r="T64" s="162">
        <f t="shared" si="38"/>
        <v>46539</v>
      </c>
      <c r="U64" s="162" t="str">
        <f t="shared" si="38"/>
        <v/>
      </c>
    </row>
    <row r="65" spans="3:24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 t="s">
        <v>173</v>
      </c>
      <c r="D66" s="30" t="s">
        <v>101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195">
        <v>2298448</v>
      </c>
      <c r="P66" s="195">
        <v>2327241</v>
      </c>
      <c r="Q66" s="195">
        <v>2356124</v>
      </c>
      <c r="R66" s="195">
        <v>2385348</v>
      </c>
      <c r="S66" s="195">
        <v>2413002.1499392441</v>
      </c>
      <c r="T66" s="195">
        <v>2441421.8380820197</v>
      </c>
      <c r="U66" s="195"/>
    </row>
    <row r="67" spans="3:24" outlineLevel="1">
      <c r="C67" s="61" t="s">
        <v>200</v>
      </c>
      <c r="D67" s="30" t="s">
        <v>101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>
        <v>14528.2</v>
      </c>
      <c r="P67" s="195">
        <v>14459.1</v>
      </c>
      <c r="Q67" s="195">
        <v>14456.5</v>
      </c>
      <c r="R67" s="195">
        <v>14471.5</v>
      </c>
      <c r="S67" s="195">
        <v>14471.5</v>
      </c>
      <c r="T67" s="195">
        <v>14471.5</v>
      </c>
      <c r="U67" s="195"/>
    </row>
    <row r="68" spans="3:24" outlineLevel="1">
      <c r="C68" s="61" t="s">
        <v>201</v>
      </c>
      <c r="D68" s="30" t="s">
        <v>101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>
        <v>12583.453072999997</v>
      </c>
      <c r="P68" s="195">
        <v>12583.453072999997</v>
      </c>
      <c r="Q68" s="195">
        <v>12774.727386464989</v>
      </c>
      <c r="R68" s="195">
        <v>12828.81861253299</v>
      </c>
      <c r="S68" s="195">
        <v>12865.420503034986</v>
      </c>
      <c r="T68" s="195">
        <v>12889.760015928992</v>
      </c>
      <c r="U68" s="195"/>
    </row>
    <row r="69" spans="3:24" outlineLevel="1">
      <c r="C69" s="61" t="s">
        <v>202</v>
      </c>
      <c r="D69" s="30" t="s">
        <v>101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>
        <v>51777.970131528964</v>
      </c>
      <c r="P69" s="195">
        <v>53223.471521444335</v>
      </c>
      <c r="Q69" s="195">
        <v>56553.142182452932</v>
      </c>
      <c r="R69" s="195">
        <v>54192.558070489511</v>
      </c>
      <c r="S69" s="195">
        <v>53878.388931651622</v>
      </c>
      <c r="T69" s="195">
        <v>54093.832183555947</v>
      </c>
      <c r="U69" s="195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3"/>
      <c r="K70" s="194"/>
      <c r="L70" s="194"/>
      <c r="M70" s="194"/>
      <c r="N70" s="194"/>
      <c r="O70" s="195"/>
      <c r="P70" s="195"/>
      <c r="Q70" s="195"/>
      <c r="R70" s="195"/>
      <c r="S70" s="195"/>
      <c r="T70" s="195"/>
      <c r="U70" s="195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3"/>
      <c r="K71" s="194"/>
      <c r="L71" s="194"/>
      <c r="M71" s="194"/>
      <c r="N71" s="194"/>
      <c r="O71" s="195"/>
      <c r="P71" s="195"/>
      <c r="Q71" s="195"/>
      <c r="R71" s="195"/>
      <c r="S71" s="195"/>
      <c r="T71" s="195"/>
      <c r="U71" s="195"/>
    </row>
    <row r="72" spans="3:24" outlineLevel="1">
      <c r="C72" s="111"/>
      <c r="G72" s="32"/>
      <c r="H72" s="32"/>
      <c r="K72" s="23"/>
      <c r="L72" s="23"/>
      <c r="M72" s="23"/>
      <c r="N72" s="23"/>
      <c r="O72" s="23"/>
    </row>
    <row r="73" spans="3:24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39">IF(J64=J$4,IF(COUNTA($C66:$C71)=COUNT(J66:J71),"Ok","Check"),"")</f>
        <v/>
      </c>
      <c r="K73" s="132" t="str">
        <f t="shared" si="39"/>
        <v/>
      </c>
      <c r="L73" s="132" t="str">
        <f t="shared" si="39"/>
        <v/>
      </c>
      <c r="M73" s="132" t="str">
        <f t="shared" si="39"/>
        <v/>
      </c>
      <c r="N73" s="132" t="str">
        <f t="shared" si="39"/>
        <v/>
      </c>
      <c r="O73" s="132" t="str">
        <f t="shared" si="39"/>
        <v>Ok</v>
      </c>
      <c r="P73" s="132" t="str">
        <f t="shared" si="39"/>
        <v>Ok</v>
      </c>
      <c r="Q73" s="132" t="str">
        <f t="shared" si="39"/>
        <v>Ok</v>
      </c>
      <c r="R73" s="132" t="str">
        <f t="shared" si="39"/>
        <v>Ok</v>
      </c>
      <c r="S73" s="132" t="str">
        <f t="shared" si="39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/>
      </c>
      <c r="V73" s="24"/>
      <c r="X73" s="131" t="str">
        <f>IF(COUNTIF(J73:U73,"Check")=0,"Ok","Check")</f>
        <v>Ok</v>
      </c>
    </row>
    <row r="74" spans="3:24" outlineLevel="1">
      <c r="C74" s="111"/>
      <c r="G74" s="32"/>
      <c r="H74" s="32"/>
      <c r="K74" s="23"/>
      <c r="L74" s="23"/>
      <c r="M74" s="23"/>
      <c r="N74" s="23"/>
      <c r="O74" s="23"/>
    </row>
    <row r="75" spans="3:24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62" t="str">
        <f t="shared" ref="J75:U75" si="40">IF(YEAR(J$4)&gt;=FPFirstYear,IF(YEAR(J$4)&lt;=FPLastYear,J$4,""),"")</f>
        <v/>
      </c>
      <c r="K75" s="162" t="str">
        <f t="shared" si="40"/>
        <v/>
      </c>
      <c r="L75" s="162" t="str">
        <f t="shared" si="40"/>
        <v/>
      </c>
      <c r="M75" s="162" t="str">
        <f t="shared" si="40"/>
        <v/>
      </c>
      <c r="N75" s="162" t="str">
        <f t="shared" si="40"/>
        <v/>
      </c>
      <c r="O75" s="162" t="str">
        <f t="shared" si="40"/>
        <v/>
      </c>
      <c r="P75" s="162">
        <f t="shared" si="40"/>
        <v>45078</v>
      </c>
      <c r="Q75" s="162">
        <f t="shared" si="40"/>
        <v>45444</v>
      </c>
      <c r="R75" s="162">
        <f t="shared" si="40"/>
        <v>45809</v>
      </c>
      <c r="S75" s="162">
        <f t="shared" si="40"/>
        <v>46174</v>
      </c>
      <c r="T75" s="162">
        <f t="shared" si="40"/>
        <v>46539</v>
      </c>
      <c r="U75" s="162" t="str">
        <f t="shared" si="40"/>
        <v/>
      </c>
      <c r="V75" s="29" t="str">
        <f>IF(RIGHT(V$4,2)&gt;=RIGHT('Input|General'!$G$13,2),IF(RIGHT(V$4,2)&lt;='Input|General'!$G$14,'Input|Reported opex'!U$4,""),"")</f>
        <v/>
      </c>
    </row>
    <row r="76" spans="3:24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8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1">IF(ISBLANK(I66),"",IF(ISBLANK(J66),"",LN(J66)-LN(I66)))</f>
        <v/>
      </c>
      <c r="K77" s="117" t="str">
        <f t="shared" si="41"/>
        <v/>
      </c>
      <c r="L77" s="117" t="str">
        <f t="shared" si="41"/>
        <v/>
      </c>
      <c r="M77" s="117" t="str">
        <f t="shared" si="41"/>
        <v/>
      </c>
      <c r="N77" s="117" t="str">
        <f>IF(ISBLANK(M66),"",IF(ISBLANK(N66),"",LN(N66)-LN(M66)))</f>
        <v/>
      </c>
      <c r="O77" s="117" t="str">
        <f t="shared" ref="O77:U77" si="42">IF(ISBLANK(N66),"",IF(ISBLANK(O66),"",LN(O66)-LN(N66)))</f>
        <v/>
      </c>
      <c r="P77" s="117">
        <f t="shared" si="42"/>
        <v>1.2449333223562675E-2</v>
      </c>
      <c r="Q77" s="117">
        <f t="shared" si="42"/>
        <v>1.233445020157653E-2</v>
      </c>
      <c r="R77" s="117">
        <f t="shared" si="42"/>
        <v>1.2327129662581982E-2</v>
      </c>
      <c r="S77" s="117">
        <f t="shared" si="42"/>
        <v>1.1526651978487124E-2</v>
      </c>
      <c r="T77" s="117">
        <f t="shared" si="42"/>
        <v>1.1708912490487222E-2</v>
      </c>
      <c r="U77" s="117" t="str">
        <f t="shared" si="42"/>
        <v/>
      </c>
    </row>
    <row r="78" spans="3:24" outlineLevel="1">
      <c r="C78" s="148" t="str">
        <f t="shared" ref="C78:C82" si="43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-4.7676141543160355E-3</v>
      </c>
      <c r="Q78" s="117">
        <f t="shared" si="44"/>
        <v>-1.7983372345753423E-4</v>
      </c>
      <c r="R78" s="117">
        <f t="shared" si="44"/>
        <v>1.0370576150684485E-3</v>
      </c>
      <c r="S78" s="117">
        <f t="shared" si="44"/>
        <v>0</v>
      </c>
      <c r="T78" s="117">
        <f t="shared" si="44"/>
        <v>0</v>
      </c>
      <c r="U78" s="117" t="str">
        <f t="shared" si="44"/>
        <v/>
      </c>
    </row>
    <row r="79" spans="3:24" outlineLevel="1">
      <c r="C79" s="148" t="str">
        <f t="shared" si="43"/>
        <v xml:space="preserve">Ratcheted maximum demand 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>
        <f t="shared" si="45"/>
        <v>0</v>
      </c>
      <c r="Q79" s="117">
        <f t="shared" si="45"/>
        <v>1.5086093533975387E-2</v>
      </c>
      <c r="R79" s="117">
        <f t="shared" si="45"/>
        <v>4.2252980540240515E-3</v>
      </c>
      <c r="S79" s="117">
        <f t="shared" si="45"/>
        <v>2.8490367117335325E-3</v>
      </c>
      <c r="T79" s="117">
        <f t="shared" si="45"/>
        <v>1.8900679125017916E-3</v>
      </c>
      <c r="U79" s="117" t="str">
        <f t="shared" si="45"/>
        <v/>
      </c>
    </row>
    <row r="80" spans="3:24" outlineLevel="1">
      <c r="C80" s="148" t="str">
        <f t="shared" si="43"/>
        <v xml:space="preserve">Energy 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>
        <f t="shared" si="46"/>
        <v>2.753472129311163E-2</v>
      </c>
      <c r="Q80" s="117">
        <f t="shared" si="46"/>
        <v>6.0681272632665539E-2</v>
      </c>
      <c r="R80" s="117">
        <f t="shared" si="46"/>
        <v>-4.2637171649023031E-2</v>
      </c>
      <c r="S80" s="117">
        <f t="shared" si="46"/>
        <v>-5.8141439965861963E-3</v>
      </c>
      <c r="T80" s="117">
        <f t="shared" si="46"/>
        <v>3.9907216060868222E-3</v>
      </c>
      <c r="U80" s="117" t="str">
        <f t="shared" si="46"/>
        <v/>
      </c>
    </row>
    <row r="81" spans="3:24" outlineLevel="1">
      <c r="C81" s="148">
        <f t="shared" si="43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7">IF(ISBLANK(I70),"",IF(ISBLANK(J70),"",LN(J70)-LN(I70)))</f>
        <v/>
      </c>
      <c r="K81" s="117" t="str">
        <f t="shared" si="47"/>
        <v/>
      </c>
      <c r="L81" s="117" t="str">
        <f t="shared" si="47"/>
        <v/>
      </c>
      <c r="M81" s="117" t="str">
        <f t="shared" si="47"/>
        <v/>
      </c>
      <c r="N81" s="117" t="str">
        <f t="shared" si="47"/>
        <v/>
      </c>
      <c r="O81" s="117" t="str">
        <f t="shared" si="47"/>
        <v/>
      </c>
      <c r="P81" s="117" t="str">
        <f t="shared" si="47"/>
        <v/>
      </c>
      <c r="Q81" s="117" t="str">
        <f t="shared" si="47"/>
        <v/>
      </c>
      <c r="R81" s="117" t="str">
        <f t="shared" si="47"/>
        <v/>
      </c>
      <c r="S81" s="117" t="str">
        <f t="shared" si="47"/>
        <v/>
      </c>
      <c r="T81" s="117" t="str">
        <f t="shared" si="47"/>
        <v/>
      </c>
      <c r="U81" s="117"/>
    </row>
    <row r="82" spans="3:24" outlineLevel="1">
      <c r="C82" s="148">
        <f t="shared" si="43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8">IF(ISBLANK(I71),"",IF(ISBLANK(J71),"",LN(J71)-LN(I71)))</f>
        <v/>
      </c>
      <c r="K82" s="117" t="str">
        <f t="shared" si="48"/>
        <v/>
      </c>
      <c r="L82" s="117" t="str">
        <f t="shared" si="48"/>
        <v/>
      </c>
      <c r="M82" s="117" t="str">
        <f t="shared" si="48"/>
        <v/>
      </c>
      <c r="N82" s="117" t="str">
        <f t="shared" si="48"/>
        <v/>
      </c>
      <c r="O82" s="117" t="str">
        <f t="shared" si="48"/>
        <v/>
      </c>
      <c r="P82" s="117" t="str">
        <f t="shared" si="48"/>
        <v/>
      </c>
      <c r="Q82" s="117" t="str">
        <f t="shared" si="48"/>
        <v/>
      </c>
      <c r="R82" s="117" t="str">
        <f t="shared" si="48"/>
        <v/>
      </c>
      <c r="S82" s="117" t="str">
        <f t="shared" si="48"/>
        <v/>
      </c>
      <c r="T82" s="117" t="str">
        <f t="shared" si="48"/>
        <v/>
      </c>
      <c r="U82" s="117"/>
    </row>
    <row r="83" spans="3:24" outlineLevel="1">
      <c r="C83" s="111"/>
      <c r="G83" s="32"/>
      <c r="H83" s="32"/>
      <c r="K83" s="23"/>
      <c r="L83" s="23"/>
      <c r="M83" s="23"/>
      <c r="N83" s="23"/>
      <c r="O83" s="23"/>
    </row>
    <row r="84" spans="3:24" outlineLevel="1">
      <c r="C84" s="67" t="s">
        <v>174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9" t="s">
        <v>193</v>
      </c>
      <c r="K84" s="219"/>
      <c r="L84" s="219"/>
      <c r="M84" s="219"/>
      <c r="N84" s="162"/>
      <c r="O84" s="162"/>
      <c r="P84" s="162"/>
      <c r="Q84" s="162"/>
      <c r="R84" s="162"/>
      <c r="S84" s="162"/>
      <c r="T84" s="162"/>
      <c r="U84" s="162"/>
    </row>
    <row r="85" spans="3:24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  <c r="U85" s="107"/>
    </row>
    <row r="86" spans="3:24" outlineLevel="1">
      <c r="C86" s="148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60">
        <v>7.5899999999999995E-2</v>
      </c>
      <c r="K86" s="60"/>
      <c r="L86" s="60"/>
      <c r="M86" s="60"/>
      <c r="N86" s="192"/>
      <c r="O86" s="192"/>
      <c r="P86" s="192"/>
      <c r="Q86" s="192"/>
      <c r="R86" s="192"/>
      <c r="S86" s="192"/>
      <c r="T86" s="192"/>
      <c r="U86" s="192"/>
    </row>
    <row r="87" spans="3:24" outlineLevel="1">
      <c r="C87" s="148" t="str">
        <f t="shared" ref="C87:C91" si="49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60">
        <v>0.52790000000000004</v>
      </c>
      <c r="K87" s="60"/>
      <c r="L87" s="60"/>
      <c r="M87" s="60"/>
      <c r="N87" s="192"/>
      <c r="O87" s="192"/>
      <c r="P87" s="192"/>
      <c r="Q87" s="192"/>
      <c r="R87" s="192"/>
      <c r="S87" s="192"/>
      <c r="T87" s="192"/>
      <c r="U87" s="192"/>
    </row>
    <row r="88" spans="3:24" outlineLevel="1">
      <c r="C88" s="148" t="str">
        <f t="shared" si="49"/>
        <v xml:space="preserve">Ratcheted maximum demand </v>
      </c>
      <c r="D88" s="30" t="s">
        <v>101</v>
      </c>
      <c r="E88" s="30" t="s">
        <v>18</v>
      </c>
      <c r="F88" s="30" t="s">
        <v>36</v>
      </c>
      <c r="G88" s="32"/>
      <c r="H88" s="32"/>
      <c r="J88" s="60">
        <v>0.24709999999999999</v>
      </c>
      <c r="K88" s="60"/>
      <c r="L88" s="60"/>
      <c r="M88" s="60"/>
      <c r="N88" s="192"/>
      <c r="O88" s="192"/>
      <c r="P88" s="192"/>
      <c r="Q88" s="192"/>
      <c r="R88" s="192"/>
      <c r="S88" s="192"/>
      <c r="T88" s="192"/>
      <c r="U88" s="192"/>
    </row>
    <row r="89" spans="3:24" outlineLevel="1">
      <c r="C89" s="148" t="str">
        <f t="shared" si="49"/>
        <v xml:space="preserve">Energy </v>
      </c>
      <c r="D89" s="30" t="s">
        <v>101</v>
      </c>
      <c r="E89" s="30" t="s">
        <v>18</v>
      </c>
      <c r="F89" s="30" t="s">
        <v>36</v>
      </c>
      <c r="G89" s="32"/>
      <c r="H89" s="32"/>
      <c r="J89" s="60">
        <v>0.14910000000000001</v>
      </c>
      <c r="K89" s="61"/>
      <c r="L89" s="61"/>
      <c r="M89" s="60"/>
      <c r="N89" s="192"/>
      <c r="O89" s="192"/>
      <c r="P89" s="192"/>
      <c r="Q89" s="192"/>
      <c r="R89" s="192"/>
      <c r="S89" s="192"/>
      <c r="T89" s="192"/>
      <c r="U89" s="192"/>
    </row>
    <row r="90" spans="3:24" outlineLevel="1">
      <c r="C90" s="148">
        <f t="shared" si="49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92"/>
      <c r="O90" s="192"/>
      <c r="P90" s="192"/>
      <c r="Q90" s="192"/>
      <c r="R90" s="192"/>
      <c r="S90" s="192"/>
      <c r="T90" s="192"/>
      <c r="U90" s="192"/>
    </row>
    <row r="91" spans="3:24" outlineLevel="1">
      <c r="C91" s="148">
        <f t="shared" si="49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92"/>
      <c r="O91" s="192"/>
      <c r="P91" s="192"/>
      <c r="Q91" s="192"/>
      <c r="R91" s="192"/>
      <c r="S91" s="192"/>
      <c r="T91" s="192"/>
      <c r="U91" s="192"/>
    </row>
    <row r="92" spans="3:24" outlineLevel="1">
      <c r="G92" s="32"/>
      <c r="H92" s="32"/>
    </row>
    <row r="93" spans="3:24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132"/>
      <c r="V93" s="24"/>
      <c r="X93" s="131" t="str">
        <f>IF(COUNTIF(K93:T93,"Check")=0,"Ok","Check")</f>
        <v>Ok</v>
      </c>
    </row>
    <row r="94" spans="3:24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24"/>
      <c r="X94" s="132"/>
    </row>
    <row r="95" spans="3:24" outlineLevel="1">
      <c r="C95" s="67" t="s">
        <v>175</v>
      </c>
      <c r="D95" s="32" t="s">
        <v>7</v>
      </c>
      <c r="E95" s="32" t="s">
        <v>8</v>
      </c>
      <c r="F95" s="32" t="s">
        <v>22</v>
      </c>
      <c r="J95" s="162" t="str">
        <f t="shared" ref="J95:U95" si="50">IF(YEAR(J$4)&gt;=FPFirstYear,IF(YEAR(J$4)&lt;=FPLastYear,J$4,""),"")</f>
        <v/>
      </c>
      <c r="K95" s="162" t="str">
        <f t="shared" si="50"/>
        <v/>
      </c>
      <c r="L95" s="162" t="str">
        <f t="shared" si="50"/>
        <v/>
      </c>
      <c r="M95" s="162" t="str">
        <f t="shared" si="50"/>
        <v/>
      </c>
      <c r="N95" s="162" t="str">
        <f t="shared" si="50"/>
        <v/>
      </c>
      <c r="O95" s="162" t="str">
        <f t="shared" si="50"/>
        <v/>
      </c>
      <c r="P95" s="162">
        <f t="shared" si="50"/>
        <v>45078</v>
      </c>
      <c r="Q95" s="162">
        <f t="shared" si="50"/>
        <v>45444</v>
      </c>
      <c r="R95" s="162">
        <f t="shared" si="50"/>
        <v>45809</v>
      </c>
      <c r="S95" s="162">
        <f t="shared" si="50"/>
        <v>46174</v>
      </c>
      <c r="T95" s="162">
        <f t="shared" si="50"/>
        <v>46539</v>
      </c>
      <c r="U95" s="162" t="str">
        <f t="shared" si="50"/>
        <v/>
      </c>
      <c r="V95" s="24"/>
      <c r="X95" s="132"/>
    </row>
    <row r="96" spans="3:24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24"/>
      <c r="X96" s="132"/>
    </row>
    <row r="97" spans="1:51" outlineLevel="1">
      <c r="C97" s="148" t="str">
        <f t="array" ref="C97:C100">TRANSPOSE(J84:M84)</f>
        <v>Opex MPFP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IF(J$95=J$4,SUMPRODUCT(J$77:J$82,$J$86:$J$91),"")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2.5335078244079169E-3</v>
      </c>
      <c r="Q97" s="117">
        <f t="shared" si="51"/>
        <v>1.3616602009462176E-2</v>
      </c>
      <c r="R97" s="117">
        <f t="shared" si="51"/>
        <v>-3.830039287335385E-3</v>
      </c>
      <c r="S97" s="117">
        <f t="shared" si="51"/>
        <v>7.119809867455264E-4</v>
      </c>
      <c r="T97" s="117">
        <f>IF(T$95=T$4,SUMPRODUCT(T$77:T$82,$J$86:$J$91),"")</f>
        <v>1.9507588306747182E-3</v>
      </c>
      <c r="U97" s="117" t="str">
        <f>IF(U$95=U$4,SUMPRODUCT(U$77:U$82,$J$86:$J$91),"")</f>
        <v/>
      </c>
      <c r="V97" s="24"/>
      <c r="X97" s="132"/>
    </row>
    <row r="98" spans="1:51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IF(J$95=J$4,SUMPRODUCT(J$77:J$82,$K$86:$K$91),"")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0</v>
      </c>
      <c r="Q98" s="117">
        <f t="shared" si="52"/>
        <v>0</v>
      </c>
      <c r="R98" s="117">
        <f t="shared" si="52"/>
        <v>0</v>
      </c>
      <c r="S98" s="117">
        <f t="shared" si="52"/>
        <v>0</v>
      </c>
      <c r="T98" s="117">
        <f>IF(T$95=T$4,SUMPRODUCT(T$77:T$82,$K$86:$K$91),"")</f>
        <v>0</v>
      </c>
      <c r="U98" s="117" t="str">
        <f>IF(U$95=U$4,SUMPRODUCT(U$77:U$82,$K$86:$K$91),"")</f>
        <v/>
      </c>
      <c r="V98" s="24"/>
      <c r="X98" s="132"/>
    </row>
    <row r="99" spans="1:51" outlineLevel="1">
      <c r="C99" s="148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3">IF(J$95=J$4,SUMPRODUCT(J$77:J$82,$L$86:$L$91),"")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>
        <f t="shared" si="53"/>
        <v>0</v>
      </c>
      <c r="Q99" s="117">
        <f t="shared" si="53"/>
        <v>0</v>
      </c>
      <c r="R99" s="117">
        <f t="shared" si="53"/>
        <v>0</v>
      </c>
      <c r="S99" s="117">
        <f t="shared" si="53"/>
        <v>0</v>
      </c>
      <c r="T99" s="117">
        <f>IF(T$95=T$4,SUMPRODUCT(T$77:T$82,$L$86:$L$91),"")</f>
        <v>0</v>
      </c>
      <c r="U99" s="117" t="str">
        <f>IF(U$95=U$4,SUMPRODUCT(U$77:U$82,$L$86:$L$91),"")</f>
        <v/>
      </c>
      <c r="V99" s="24"/>
      <c r="X99" s="132"/>
    </row>
    <row r="100" spans="1:51" outlineLevel="1">
      <c r="C100" s="148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4">IF(J$95=J$4,SUMPRODUCT(J$77:J$82,$M$86:$M$91),"")</f>
        <v/>
      </c>
      <c r="K100" s="117" t="str">
        <f t="shared" si="54"/>
        <v/>
      </c>
      <c r="L100" s="117" t="str">
        <f t="shared" si="54"/>
        <v/>
      </c>
      <c r="M100" s="117" t="str">
        <f t="shared" si="54"/>
        <v/>
      </c>
      <c r="N100" s="117" t="str">
        <f t="shared" si="54"/>
        <v/>
      </c>
      <c r="O100" s="117" t="str">
        <f t="shared" si="54"/>
        <v/>
      </c>
      <c r="P100" s="117">
        <f t="shared" si="54"/>
        <v>0</v>
      </c>
      <c r="Q100" s="117">
        <f t="shared" si="54"/>
        <v>0</v>
      </c>
      <c r="R100" s="117">
        <f t="shared" si="54"/>
        <v>0</v>
      </c>
      <c r="S100" s="117">
        <f t="shared" si="54"/>
        <v>0</v>
      </c>
      <c r="T100" s="117">
        <f>IF(T$95=T$4,SUMPRODUCT(T$77:T$82,$M$86:$M$91),"")</f>
        <v>0</v>
      </c>
      <c r="U100" s="117" t="str">
        <f>IF(U$95=U$4,SUMPRODUCT(U$77:U$82,$M$86:$M$91),"")</f>
        <v/>
      </c>
      <c r="V100" s="24"/>
      <c r="X100" s="132"/>
    </row>
    <row r="101" spans="1:51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2.75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62" t="str">
        <f t="shared" ref="J104:U104" si="55">IF(YEAR(J$4)&gt;=FPFirstYear,IF(YEAR(J$4)&lt;=FPLastYear,J$4,""),"")</f>
        <v/>
      </c>
      <c r="K104" s="162" t="str">
        <f t="shared" si="55"/>
        <v/>
      </c>
      <c r="L104" s="162" t="str">
        <f t="shared" si="55"/>
        <v/>
      </c>
      <c r="M104" s="162" t="str">
        <f t="shared" si="55"/>
        <v/>
      </c>
      <c r="N104" s="162" t="str">
        <f t="shared" si="55"/>
        <v/>
      </c>
      <c r="O104" s="162" t="str">
        <f t="shared" si="55"/>
        <v/>
      </c>
      <c r="P104" s="162">
        <f t="shared" si="55"/>
        <v>45078</v>
      </c>
      <c r="Q104" s="162">
        <f t="shared" si="55"/>
        <v>45444</v>
      </c>
      <c r="R104" s="162">
        <f t="shared" si="55"/>
        <v>45809</v>
      </c>
      <c r="S104" s="162">
        <f t="shared" si="55"/>
        <v>46174</v>
      </c>
      <c r="T104" s="162">
        <f t="shared" si="55"/>
        <v>46539</v>
      </c>
      <c r="U104" s="162" t="str">
        <f t="shared" si="55"/>
        <v/>
      </c>
    </row>
    <row r="105" spans="1:51" outlineLevel="1">
      <c r="C105" s="111"/>
      <c r="G105" s="32"/>
      <c r="H105" s="32"/>
      <c r="K105" s="23"/>
      <c r="L105" s="23"/>
      <c r="M105" s="23"/>
      <c r="N105" s="23"/>
      <c r="O105" s="23"/>
    </row>
    <row r="106" spans="1:51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204"/>
      <c r="K106" s="193"/>
      <c r="L106" s="193"/>
      <c r="M106" s="193"/>
      <c r="N106" s="193"/>
      <c r="O106" s="168"/>
      <c r="P106" s="168">
        <v>3.0999999999999999E-3</v>
      </c>
      <c r="Q106" s="168">
        <v>3.0999999999999999E-3</v>
      </c>
      <c r="R106" s="168">
        <v>3.0999999999999999E-3</v>
      </c>
      <c r="S106" s="168">
        <v>3.0999999999999999E-3</v>
      </c>
      <c r="T106" s="168">
        <v>3.0999999999999999E-3</v>
      </c>
      <c r="U106" s="168"/>
    </row>
    <row r="107" spans="1:51" outlineLevel="1">
      <c r="C107" s="111"/>
      <c r="G107" s="32"/>
      <c r="H107" s="32"/>
      <c r="J107" s="167"/>
      <c r="K107" s="23"/>
      <c r="L107" s="23"/>
      <c r="M107" s="23"/>
      <c r="N107" s="23"/>
      <c r="O107" s="23"/>
      <c r="P107" s="191"/>
      <c r="Q107" s="191"/>
      <c r="R107" s="191"/>
      <c r="S107" s="191"/>
      <c r="T107" s="191"/>
      <c r="U107" s="191"/>
    </row>
    <row r="108" spans="1:51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2" t="str">
        <f t="shared" ref="J108:S108" si="56">IF(J104=J$4,IF(ISBLANK(J106),"Check","Ok"),"")</f>
        <v/>
      </c>
      <c r="K108" s="132" t="str">
        <f t="shared" si="56"/>
        <v/>
      </c>
      <c r="L108" s="132" t="str">
        <f t="shared" si="56"/>
        <v/>
      </c>
      <c r="M108" s="132" t="str">
        <f t="shared" si="56"/>
        <v/>
      </c>
      <c r="N108" s="132" t="str">
        <f t="shared" si="56"/>
        <v/>
      </c>
      <c r="O108" s="132" t="str">
        <f t="shared" si="56"/>
        <v/>
      </c>
      <c r="P108" s="132" t="str">
        <f t="shared" si="56"/>
        <v>Ok</v>
      </c>
      <c r="Q108" s="132" t="str">
        <f t="shared" si="56"/>
        <v>Ok</v>
      </c>
      <c r="R108" s="132" t="str">
        <f t="shared" si="56"/>
        <v>Ok</v>
      </c>
      <c r="S108" s="132" t="str">
        <f t="shared" si="56"/>
        <v>Ok</v>
      </c>
      <c r="T108" s="132" t="str">
        <f>IF(T104=T$4,IF(ISBLANK(T106),"Check","Ok"),"")</f>
        <v>Ok</v>
      </c>
      <c r="U108" s="132" t="str">
        <f>IF(U104=U$4,IF(ISBLANK(U106),"Check","Ok"),"")</f>
        <v/>
      </c>
      <c r="V108" s="24"/>
      <c r="X108" s="131" t="str">
        <f>IF(COUNTIF(J108:T108,"Check")=0,"Ok","Check")</f>
        <v>Ok</v>
      </c>
    </row>
    <row r="109" spans="1:51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2.75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  <row r="111" spans="1:51" hidden="1"/>
    <row r="112" spans="1:5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</sheetData>
  <mergeCells count="2">
    <mergeCell ref="K3:M3"/>
    <mergeCell ref="O3:T3"/>
  </mergeCells>
  <conditionalFormatting sqref="X1">
    <cfRule type="cellIs" dxfId="151" priority="112" operator="equal">
      <formula>"Check"</formula>
    </cfRule>
    <cfRule type="cellIs" dxfId="150" priority="113" operator="equal">
      <formula>"Ok"</formula>
    </cfRule>
  </conditionalFormatting>
  <conditionalFormatting sqref="T1:U1">
    <cfRule type="cellIs" dxfId="149" priority="76" operator="equal">
      <formula>"Check"</formula>
    </cfRule>
    <cfRule type="cellIs" dxfId="148" priority="77" operator="equal">
      <formula>"Ok"</formula>
    </cfRule>
  </conditionalFormatting>
  <conditionalFormatting sqref="X60">
    <cfRule type="cellIs" dxfId="147" priority="64" operator="equal">
      <formula>"Check"</formula>
    </cfRule>
    <cfRule type="cellIs" dxfId="146" priority="65" operator="equal">
      <formula>"Ok"</formula>
    </cfRule>
  </conditionalFormatting>
  <conditionalFormatting sqref="J60:U60">
    <cfRule type="cellIs" dxfId="145" priority="56" operator="equal">
      <formula>"Check"</formula>
    </cfRule>
    <cfRule type="cellIs" dxfId="144" priority="57" operator="equal">
      <formula>"Ok"</formula>
    </cfRule>
  </conditionalFormatting>
  <conditionalFormatting sqref="J36:U36">
    <cfRule type="expression" dxfId="143" priority="47">
      <formula>J$36=J$4</formula>
    </cfRule>
  </conditionalFormatting>
  <conditionalFormatting sqref="J38:T40 J41:U45 P38:T45">
    <cfRule type="expression" dxfId="142" priority="45">
      <formula>J$36=J$4</formula>
    </cfRule>
  </conditionalFormatting>
  <conditionalFormatting sqref="J51:T58">
    <cfRule type="expression" dxfId="141" priority="44">
      <formula>J$49=J$4</formula>
    </cfRule>
  </conditionalFormatting>
  <conditionalFormatting sqref="X108">
    <cfRule type="cellIs" dxfId="140" priority="38" operator="equal">
      <formula>"Check"</formula>
    </cfRule>
    <cfRule type="cellIs" dxfId="139" priority="39" operator="equal">
      <formula>"Ok"</formula>
    </cfRule>
  </conditionalFormatting>
  <conditionalFormatting sqref="J108:U108">
    <cfRule type="cellIs" dxfId="138" priority="36" operator="equal">
      <formula>"Check"</formula>
    </cfRule>
    <cfRule type="cellIs" dxfId="137" priority="37" operator="equal">
      <formula>"Ok"</formula>
    </cfRule>
  </conditionalFormatting>
  <conditionalFormatting sqref="X47">
    <cfRule type="cellIs" dxfId="136" priority="34" operator="equal">
      <formula>"Check"</formula>
    </cfRule>
    <cfRule type="cellIs" dxfId="135" priority="35" operator="equal">
      <formula>"Ok"</formula>
    </cfRule>
  </conditionalFormatting>
  <conditionalFormatting sqref="J47:U47">
    <cfRule type="cellIs" dxfId="134" priority="32" operator="equal">
      <formula>"Check"</formula>
    </cfRule>
    <cfRule type="cellIs" dxfId="133" priority="33" operator="equal">
      <formula>"Ok"</formula>
    </cfRule>
  </conditionalFormatting>
  <conditionalFormatting sqref="X73">
    <cfRule type="cellIs" dxfId="132" priority="30" operator="equal">
      <formula>"Check"</formula>
    </cfRule>
    <cfRule type="cellIs" dxfId="131" priority="31" operator="equal">
      <formula>"Ok"</formula>
    </cfRule>
  </conditionalFormatting>
  <conditionalFormatting sqref="J73:U73">
    <cfRule type="cellIs" dxfId="130" priority="28" operator="equal">
      <formula>"Check"</formula>
    </cfRule>
    <cfRule type="cellIs" dxfId="129" priority="29" operator="equal">
      <formula>"Ok"</formula>
    </cfRule>
  </conditionalFormatting>
  <conditionalFormatting sqref="J64:U64">
    <cfRule type="expression" dxfId="128" priority="22">
      <formula>J$64=J$4</formula>
    </cfRule>
  </conditionalFormatting>
  <conditionalFormatting sqref="J66:U71">
    <cfRule type="expression" dxfId="127" priority="20">
      <formula>J$64=J$4</formula>
    </cfRule>
  </conditionalFormatting>
  <conditionalFormatting sqref="J49:U49">
    <cfRule type="expression" dxfId="126" priority="17">
      <formula>J$36=J$4</formula>
    </cfRule>
  </conditionalFormatting>
  <conditionalFormatting sqref="J75:U75">
    <cfRule type="expression" dxfId="125" priority="16">
      <formula>J$36=J$4</formula>
    </cfRule>
  </conditionalFormatting>
  <conditionalFormatting sqref="J104:U104">
    <cfRule type="expression" dxfId="124" priority="15">
      <formula>J$36=J$4</formula>
    </cfRule>
  </conditionalFormatting>
  <conditionalFormatting sqref="J26:U32">
    <cfRule type="cellIs" dxfId="123" priority="13" operator="equal">
      <formula>0</formula>
    </cfRule>
  </conditionalFormatting>
  <conditionalFormatting sqref="J16:U22">
    <cfRule type="cellIs" dxfId="122" priority="12" operator="equal">
      <formula>0</formula>
    </cfRule>
  </conditionalFormatting>
  <conditionalFormatting sqref="X93:X100">
    <cfRule type="cellIs" dxfId="121" priority="8" operator="equal">
      <formula>"Check"</formula>
    </cfRule>
    <cfRule type="cellIs" dxfId="120" priority="9" operator="equal">
      <formula>"Ok"</formula>
    </cfRule>
  </conditionalFormatting>
  <conditionalFormatting sqref="K90:M91">
    <cfRule type="expression" dxfId="119" priority="7">
      <formula>K$84=K$4</formula>
    </cfRule>
  </conditionalFormatting>
  <conditionalFormatting sqref="J96:U96 J93:U94">
    <cfRule type="cellIs" dxfId="118" priority="5" operator="equal">
      <formula>"Check"</formula>
    </cfRule>
    <cfRule type="cellIs" dxfId="117" priority="6" operator="equal">
      <formula>"Ok"</formula>
    </cfRule>
  </conditionalFormatting>
  <conditionalFormatting sqref="J95:U95">
    <cfRule type="expression" dxfId="116" priority="4">
      <formula>J$95=J$4</formula>
    </cfRule>
  </conditionalFormatting>
  <conditionalFormatting sqref="J106:U106">
    <cfRule type="expression" dxfId="115" priority="117">
      <formula>J$104=J$4</formula>
    </cfRule>
  </conditionalFormatting>
  <conditionalFormatting sqref="K88:M89 L86:M87">
    <cfRule type="expression" dxfId="114" priority="3">
      <formula>K$84=K$4</formula>
    </cfRule>
  </conditionalFormatting>
  <conditionalFormatting sqref="U51:U58">
    <cfRule type="expression" dxfId="113" priority="1">
      <formula>U$49=U$4</formula>
    </cfRule>
  </conditionalFormatting>
  <dataValidations count="2">
    <dataValidation type="list" allowBlank="1" showInputMessage="1" showErrorMessage="1" sqref="F109 F74 F101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W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4"/>
  <sheetViews>
    <sheetView showGridLines="0" zoomScale="110" zoomScaleNormal="110" workbookViewId="0">
      <selection activeCell="O40" sqref="O40:S40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7" t="s">
        <v>123</v>
      </c>
      <c r="K3" s="171"/>
      <c r="L3" s="171"/>
      <c r="M3" s="181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2"/>
      <c r="J10" s="162" t="str">
        <f t="shared" ref="J10:T10" si="0">IF(YEAR(J$4)&gt;=FPFirstYear,IF(YEAR(J$4)&lt;=FPLastYear,J$4,""),"")</f>
        <v/>
      </c>
      <c r="K10" s="162" t="str">
        <f t="shared" si="0"/>
        <v/>
      </c>
      <c r="L10" s="162" t="str">
        <f t="shared" si="0"/>
        <v/>
      </c>
      <c r="M10" s="162" t="str">
        <f t="shared" si="0"/>
        <v/>
      </c>
      <c r="N10" s="162" t="str">
        <f t="shared" si="0"/>
        <v/>
      </c>
      <c r="O10" s="162">
        <f t="shared" si="0"/>
        <v>45078</v>
      </c>
      <c r="P10" s="162">
        <f t="shared" si="0"/>
        <v>45444</v>
      </c>
      <c r="Q10" s="162">
        <f t="shared" si="0"/>
        <v>45809</v>
      </c>
      <c r="R10" s="162">
        <f t="shared" si="0"/>
        <v>46174</v>
      </c>
      <c r="S10" s="162">
        <f t="shared" si="0"/>
        <v>46539</v>
      </c>
      <c r="T10" s="162" t="str">
        <f t="shared" si="0"/>
        <v/>
      </c>
    </row>
    <row r="11" spans="1:47" outlineLevel="1">
      <c r="G11" s="32"/>
      <c r="H11" s="32"/>
    </row>
    <row r="12" spans="1:47" outlineLevel="1">
      <c r="C12" s="61"/>
      <c r="D12" s="30" t="s">
        <v>69</v>
      </c>
      <c r="E12" s="150" t="s">
        <v>15</v>
      </c>
      <c r="F12" s="170">
        <v>44713</v>
      </c>
      <c r="G12" s="32"/>
      <c r="H12" s="32"/>
      <c r="J12" s="152"/>
      <c r="K12" s="152"/>
      <c r="L12" s="152"/>
      <c r="M12" s="152"/>
      <c r="N12" s="152"/>
      <c r="O12" s="169"/>
      <c r="P12" s="169"/>
      <c r="Q12" s="169"/>
      <c r="R12" s="169"/>
      <c r="S12" s="169"/>
      <c r="T12" s="169"/>
    </row>
    <row r="13" spans="1:47" outlineLevel="1">
      <c r="C13" s="61"/>
      <c r="D13" s="30" t="s">
        <v>69</v>
      </c>
      <c r="E13" s="150" t="s">
        <v>15</v>
      </c>
      <c r="F13" s="170">
        <v>44713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  <c r="T13" s="169"/>
    </row>
    <row r="14" spans="1:47" outlineLevel="1">
      <c r="C14" s="61"/>
      <c r="D14" s="30" t="s">
        <v>69</v>
      </c>
      <c r="E14" s="150" t="s">
        <v>15</v>
      </c>
      <c r="F14" s="170">
        <v>44713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  <c r="T14" s="169"/>
    </row>
    <row r="15" spans="1:47" outlineLevel="1">
      <c r="C15" s="61"/>
      <c r="D15" s="30" t="s">
        <v>69</v>
      </c>
      <c r="E15" s="150" t="s">
        <v>15</v>
      </c>
      <c r="F15" s="170">
        <v>44713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  <c r="T15" s="169"/>
    </row>
    <row r="16" spans="1:47" outlineLevel="1">
      <c r="C16" s="61"/>
      <c r="D16" s="30" t="s">
        <v>69</v>
      </c>
      <c r="E16" s="150" t="s">
        <v>15</v>
      </c>
      <c r="F16" s="170">
        <v>44713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  <c r="T16" s="169"/>
    </row>
    <row r="17" spans="1:47" outlineLevel="1">
      <c r="C17" s="61"/>
      <c r="D17" s="30" t="s">
        <v>69</v>
      </c>
      <c r="E17" s="150" t="s">
        <v>15</v>
      </c>
      <c r="F17" s="170">
        <v>44713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  <c r="T17" s="169"/>
    </row>
    <row r="18" spans="1:47" outlineLevel="1">
      <c r="C18" s="61"/>
      <c r="D18" s="30" t="s">
        <v>69</v>
      </c>
      <c r="E18" s="150" t="s">
        <v>15</v>
      </c>
      <c r="F18" s="170">
        <v>44713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  <c r="T18" s="169"/>
    </row>
    <row r="19" spans="1:47" outlineLevel="1">
      <c r="C19" s="61"/>
      <c r="D19" s="30" t="s">
        <v>69</v>
      </c>
      <c r="E19" s="150" t="s">
        <v>15</v>
      </c>
      <c r="F19" s="170">
        <v>44713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  <c r="T19" s="169"/>
    </row>
    <row r="20" spans="1:47" outlineLevel="1">
      <c r="C20" s="61"/>
      <c r="D20" s="30" t="s">
        <v>69</v>
      </c>
      <c r="E20" s="150" t="s">
        <v>15</v>
      </c>
      <c r="F20" s="170">
        <v>44713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  <c r="T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 t="str">
        <f t="shared" ref="T22" si="2">IF(T10=T4,IF(COUNTA($C12:$C20)=COUNT(T12:T20),"Ok","Check"),"")</f>
        <v/>
      </c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119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2" t="str">
        <f t="shared" ref="J26:T26" si="3">IF(YEAR(J$4)&gt;=FPFirstYear,IF(YEAR(J$4)&lt;=FPLastYear,J$4,""),"")</f>
        <v/>
      </c>
      <c r="K26" s="162" t="str">
        <f t="shared" si="3"/>
        <v/>
      </c>
      <c r="L26" s="162" t="str">
        <f t="shared" si="3"/>
        <v/>
      </c>
      <c r="M26" s="162" t="str">
        <f t="shared" si="3"/>
        <v/>
      </c>
      <c r="N26" s="162" t="str">
        <f t="shared" si="3"/>
        <v/>
      </c>
      <c r="O26" s="162">
        <f t="shared" si="3"/>
        <v>45078</v>
      </c>
      <c r="P26" s="162">
        <f t="shared" si="3"/>
        <v>45444</v>
      </c>
      <c r="Q26" s="162">
        <f t="shared" si="3"/>
        <v>45809</v>
      </c>
      <c r="R26" s="162">
        <f t="shared" si="3"/>
        <v>46174</v>
      </c>
      <c r="S26" s="162">
        <f t="shared" si="3"/>
        <v>46539</v>
      </c>
      <c r="T26" s="162" t="str">
        <f t="shared" si="3"/>
        <v/>
      </c>
    </row>
    <row r="27" spans="1:47" outlineLevel="1">
      <c r="G27" s="32"/>
      <c r="H27" s="32"/>
    </row>
    <row r="28" spans="1:47" outlineLevel="1">
      <c r="C28" s="216" t="s">
        <v>192</v>
      </c>
      <c r="D28" s="30" t="s">
        <v>69</v>
      </c>
      <c r="E28" s="150" t="s">
        <v>15</v>
      </c>
      <c r="F28" s="170">
        <v>44713</v>
      </c>
      <c r="G28" s="32"/>
      <c r="H28" s="32"/>
      <c r="J28" s="152"/>
      <c r="K28" s="152"/>
      <c r="L28" s="152"/>
      <c r="M28" s="152"/>
      <c r="N28" s="169"/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/>
    </row>
    <row r="29" spans="1:47" outlineLevel="1">
      <c r="C29" s="216"/>
      <c r="D29" s="30" t="s">
        <v>69</v>
      </c>
      <c r="E29" s="150" t="s">
        <v>15</v>
      </c>
      <c r="F29" s="170">
        <v>44713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  <c r="T29" s="169"/>
    </row>
    <row r="30" spans="1:47" outlineLevel="1">
      <c r="C30" s="216"/>
      <c r="D30" s="30" t="s">
        <v>69</v>
      </c>
      <c r="E30" s="150" t="s">
        <v>15</v>
      </c>
      <c r="F30" s="170">
        <v>44713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  <c r="T30" s="169"/>
    </row>
    <row r="31" spans="1:47" outlineLevel="1">
      <c r="C31" s="217"/>
      <c r="D31" s="30" t="s">
        <v>69</v>
      </c>
      <c r="E31" s="150" t="s">
        <v>15</v>
      </c>
      <c r="F31" s="170">
        <v>44713</v>
      </c>
      <c r="G31" s="32"/>
      <c r="H31" s="32"/>
      <c r="J31" s="152"/>
      <c r="K31" s="152"/>
      <c r="L31" s="152"/>
      <c r="M31" s="152"/>
      <c r="N31" s="169"/>
      <c r="O31" s="169"/>
      <c r="P31" s="169"/>
      <c r="Q31" s="169"/>
      <c r="R31" s="169"/>
      <c r="S31" s="169"/>
      <c r="T31" s="169"/>
    </row>
    <row r="32" spans="1:47" outlineLevel="1">
      <c r="C32" s="61"/>
      <c r="D32" s="30" t="s">
        <v>69</v>
      </c>
      <c r="E32" s="150" t="s">
        <v>15</v>
      </c>
      <c r="F32" s="170">
        <v>44713</v>
      </c>
      <c r="G32" s="32"/>
      <c r="H32" s="32"/>
      <c r="J32" s="152"/>
      <c r="K32" s="152"/>
      <c r="L32" s="152"/>
      <c r="M32" s="152"/>
      <c r="N32" s="169"/>
      <c r="O32" s="169"/>
      <c r="P32" s="169"/>
      <c r="Q32" s="169"/>
      <c r="R32" s="169"/>
      <c r="S32" s="169"/>
      <c r="T32" s="169"/>
    </row>
    <row r="33" spans="1:47" outlineLevel="1">
      <c r="G33" s="32"/>
      <c r="H33" s="32"/>
    </row>
    <row r="34" spans="1:47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2" t="str">
        <f t="shared" ref="J34:R34" si="4">IF(J26=J4,IF(COUNTA($C28:$C32)=COUNT(J28:J32),"Ok","Check"),"")</f>
        <v/>
      </c>
      <c r="K34" s="132" t="str">
        <f t="shared" si="4"/>
        <v/>
      </c>
      <c r="L34" s="132" t="str">
        <f t="shared" si="4"/>
        <v/>
      </c>
      <c r="M34" s="132" t="str">
        <f t="shared" si="4"/>
        <v/>
      </c>
      <c r="N34" s="132" t="str">
        <f t="shared" si="4"/>
        <v/>
      </c>
      <c r="O34" s="132" t="str">
        <f t="shared" si="4"/>
        <v>Ok</v>
      </c>
      <c r="P34" s="132" t="str">
        <f t="shared" si="4"/>
        <v>Ok</v>
      </c>
      <c r="Q34" s="132" t="str">
        <f t="shared" si="4"/>
        <v>Ok</v>
      </c>
      <c r="R34" s="132" t="str">
        <f t="shared" si="4"/>
        <v>Ok</v>
      </c>
      <c r="S34" s="132" t="str">
        <f>IF(S26=S4,IF(COUNTA($C28:$C32)=COUNT(S28:S32),"Ok","Check"),"")</f>
        <v>Ok</v>
      </c>
      <c r="T34" s="132" t="str">
        <f>IF(T26=T4,IF(COUNTA($C28:$C32)=COUNT(T28:T32),"Ok","Check"),"")</f>
        <v/>
      </c>
      <c r="U34" s="24"/>
      <c r="W34" s="131" t="str">
        <f>IF(COUNTIF(J34:T34,"Check")=0,"Ok","Check")</f>
        <v>Ok</v>
      </c>
    </row>
    <row r="35" spans="1:47">
      <c r="G35" s="32"/>
      <c r="H35" s="32"/>
    </row>
    <row r="36" spans="1:47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2" t="str">
        <f t="shared" ref="J38:T38" si="5">IF(YEAR(J$4)&gt;=FPFirstYear,IF(YEAR(J$4)&lt;=FPLastYear,J$4,""),"")</f>
        <v/>
      </c>
      <c r="K38" s="162" t="str">
        <f t="shared" si="5"/>
        <v/>
      </c>
      <c r="L38" s="162" t="str">
        <f t="shared" si="5"/>
        <v/>
      </c>
      <c r="M38" s="162" t="str">
        <f t="shared" si="5"/>
        <v/>
      </c>
      <c r="N38" s="162" t="str">
        <f t="shared" si="5"/>
        <v/>
      </c>
      <c r="O38" s="162">
        <f t="shared" si="5"/>
        <v>45078</v>
      </c>
      <c r="P38" s="162">
        <f t="shared" si="5"/>
        <v>45444</v>
      </c>
      <c r="Q38" s="162">
        <f t="shared" si="5"/>
        <v>45809</v>
      </c>
      <c r="R38" s="162">
        <f t="shared" si="5"/>
        <v>46174</v>
      </c>
      <c r="S38" s="162">
        <f t="shared" si="5"/>
        <v>46539</v>
      </c>
      <c r="T38" s="162" t="str">
        <f t="shared" si="5"/>
        <v/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08">
        <f>DATE(PPLastYear,MONTH('Input|General'!$G$9),1)</f>
        <v>44713</v>
      </c>
      <c r="G40" s="32"/>
      <c r="H40" s="32"/>
      <c r="J40" s="169"/>
      <c r="K40" s="169"/>
      <c r="L40" s="169"/>
      <c r="M40" s="169"/>
      <c r="N40" s="169"/>
      <c r="O40" s="169">
        <v>3.3019938172944894</v>
      </c>
      <c r="P40" s="169">
        <v>3.2416670871117321</v>
      </c>
      <c r="Q40" s="169">
        <v>3.1881864146655157</v>
      </c>
      <c r="R40" s="169">
        <v>3.1085752443891046</v>
      </c>
      <c r="S40" s="169">
        <v>3.0266623136568049</v>
      </c>
      <c r="T40" s="169"/>
    </row>
    <row r="41" spans="1:47" outlineLevel="1">
      <c r="G41" s="32"/>
      <c r="H41" s="32"/>
    </row>
    <row r="42" spans="1:47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2" t="str">
        <f t="shared" ref="J42:R42" si="6">IF(J38=J4,IF(ISBLANK(J40),"Check","Ok"),"")</f>
        <v/>
      </c>
      <c r="K42" s="132" t="str">
        <f t="shared" si="6"/>
        <v/>
      </c>
      <c r="L42" s="132" t="str">
        <f t="shared" si="6"/>
        <v/>
      </c>
      <c r="M42" s="132" t="str">
        <f t="shared" si="6"/>
        <v/>
      </c>
      <c r="N42" s="132" t="str">
        <f t="shared" si="6"/>
        <v/>
      </c>
      <c r="O42" s="132" t="str">
        <f t="shared" si="6"/>
        <v>Ok</v>
      </c>
      <c r="P42" s="132" t="str">
        <f t="shared" si="6"/>
        <v>Ok</v>
      </c>
      <c r="Q42" s="132" t="str">
        <f t="shared" si="6"/>
        <v>Ok</v>
      </c>
      <c r="R42" s="132" t="str">
        <f t="shared" si="6"/>
        <v>Ok</v>
      </c>
      <c r="S42" s="132" t="str">
        <f>IF(S38=S4,IF(ISBLANK(S40),"Check","Ok"),"")</f>
        <v>Ok</v>
      </c>
      <c r="T42" s="132" t="str">
        <f>IF(T38=T4,IF(ISBLANK(T40),"Check","Ok"),"")</f>
        <v/>
      </c>
      <c r="U42" s="24"/>
      <c r="W42" s="131" t="str">
        <f>IF(COUNTIF(J42:T42,"Check")=0,"Ok","Check")</f>
        <v>Ok</v>
      </c>
    </row>
    <row r="43" spans="1:47">
      <c r="G43" s="32"/>
      <c r="H43" s="32"/>
    </row>
    <row r="44" spans="1:47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T10">
    <cfRule type="expression" dxfId="108" priority="24">
      <formula>J$10=J$4</formula>
    </cfRule>
  </conditionalFormatting>
  <conditionalFormatting sqref="J12:T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4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4:T34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2 O31:O32">
    <cfRule type="expression" dxfId="98" priority="12">
      <formula>J$26=J$4</formula>
    </cfRule>
  </conditionalFormatting>
  <conditionalFormatting sqref="W42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2:T42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P31:T32 O28:T30">
    <cfRule type="expression" dxfId="93" priority="7">
      <formula>O$10=O$4</formula>
    </cfRule>
  </conditionalFormatting>
  <conditionalFormatting sqref="N28:N32">
    <cfRule type="expression" dxfId="92" priority="6">
      <formula>N$10=N$4</formula>
    </cfRule>
  </conditionalFormatting>
  <conditionalFormatting sqref="J40:T40">
    <cfRule type="expression" dxfId="91" priority="3">
      <formula>J$38=J$4</formula>
    </cfRule>
  </conditionalFormatting>
  <conditionalFormatting sqref="J26:T26">
    <cfRule type="expression" dxfId="90" priority="2">
      <formula>J$10=J$4</formula>
    </cfRule>
  </conditionalFormatting>
  <conditionalFormatting sqref="J38:T38">
    <cfRule type="expression" dxfId="89" priority="1">
      <formula>J$10=J$4</formula>
    </cfRule>
  </conditionalFormatting>
  <dataValidations count="2">
    <dataValidation type="list" allowBlank="1" showInputMessage="1" showErrorMessage="1" sqref="F23 F33 F35 F43">
      <formula1>"Real 2010,Real 2011,Real 2012,Real 2013,Real 2014,Real 2015,Nominal"</formula1>
    </dataValidation>
    <dataValidation type="list" allowBlank="1" showInputMessage="1" showErrorMessage="1" sqref="U28:U33 I40 U23 I23 U12:U21 I28:I33 U35 I35 U43 I4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E12:E21 E28:E32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F28:F32 F40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3"/>
  <sheetViews>
    <sheetView showGridLines="0" zoomScaleNormal="100" workbookViewId="0">
      <selection activeCell="C1" sqref="C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206</v>
      </c>
      <c r="T1" s="76"/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1"/>
      <c r="E3" s="181"/>
      <c r="F3" s="181"/>
      <c r="G3" s="181"/>
      <c r="H3" s="181"/>
      <c r="I3" s="181"/>
      <c r="J3" s="171" t="s">
        <v>123</v>
      </c>
      <c r="K3" s="171"/>
      <c r="L3" s="171"/>
      <c r="M3" s="181"/>
      <c r="N3" s="224"/>
      <c r="O3" s="224"/>
      <c r="P3" s="224"/>
      <c r="Q3" s="224"/>
      <c r="R3" s="224"/>
      <c r="S3" s="224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86</v>
      </c>
      <c r="C8" s="94"/>
      <c r="D8" s="94"/>
      <c r="E8" s="68" t="s">
        <v>15</v>
      </c>
      <c r="F8" s="205">
        <f>DATE(PPLastYear,MONTH('Input|General'!$G$9),1)</f>
        <v>44713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2">
        <f t="shared" ref="J10:S10" si="0">IF(YEAR(J$4)&lt;=PPLastYear,J$4,"")</f>
        <v>43252</v>
      </c>
      <c r="K10" s="162">
        <f t="shared" si="0"/>
        <v>43617</v>
      </c>
      <c r="L10" s="162">
        <f t="shared" si="0"/>
        <v>43983</v>
      </c>
      <c r="M10" s="162">
        <f t="shared" si="0"/>
        <v>44348</v>
      </c>
      <c r="N10" s="162">
        <f t="shared" si="0"/>
        <v>44713</v>
      </c>
      <c r="O10" s="162" t="str">
        <f t="shared" si="0"/>
        <v/>
      </c>
      <c r="P10" s="162" t="str">
        <f t="shared" si="0"/>
        <v/>
      </c>
      <c r="Q10" s="162" t="str">
        <f t="shared" si="0"/>
        <v/>
      </c>
      <c r="R10" s="162" t="str">
        <f t="shared" si="0"/>
        <v/>
      </c>
      <c r="S10" s="162" t="str">
        <f t="shared" si="0"/>
        <v/>
      </c>
      <c r="T10" s="162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165</v>
      </c>
      <c r="D12" s="108" t="s">
        <v>92</v>
      </c>
      <c r="E12" s="30" t="str">
        <f>'Input|Reported opex'!E57</f>
        <v>$millions</v>
      </c>
      <c r="F12" s="160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197.28516758428822</v>
      </c>
      <c r="L12" s="109">
        <f>IF(YEAR(L$4)=BaseYear,'Input|Reported opex'!L47,0)</f>
        <v>0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165</v>
      </c>
      <c r="D13" s="110" t="s">
        <v>30</v>
      </c>
      <c r="E13" s="30" t="str">
        <f>$E$8</f>
        <v>$millions</v>
      </c>
      <c r="F13" s="160">
        <f>$F$8</f>
        <v>44713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208.8655203068729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166</v>
      </c>
      <c r="D14" s="108" t="s">
        <v>92</v>
      </c>
      <c r="E14" s="30" t="str">
        <f>'Input|Reported opex'!E15</f>
        <v>$millions</v>
      </c>
      <c r="F14" s="160">
        <f>'Input|Reported opex'!F15</f>
        <v>42887</v>
      </c>
      <c r="J14" s="109">
        <f>IF(YEAR(J$4)=BaseYear,'Input|Reported opex'!J15,0)</f>
        <v>0</v>
      </c>
      <c r="K14" s="109">
        <f>IF(YEAR(K$4)=BaseYear,'Input|Reported opex'!K15,0)</f>
        <v>196.03672139940113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166</v>
      </c>
      <c r="D15" s="110" t="s">
        <v>30</v>
      </c>
      <c r="E15" s="30" t="str">
        <f>$E$8</f>
        <v>$millions</v>
      </c>
      <c r="F15" s="160">
        <f>$F$8</f>
        <v>44713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213.53658482188422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167</v>
      </c>
      <c r="D16" s="108" t="s">
        <v>92</v>
      </c>
      <c r="E16" s="30" t="str">
        <f>'Input|Reported opex'!E15</f>
        <v>$millions</v>
      </c>
      <c r="F16" s="160">
        <f>'Input|Reported opex'!F15</f>
        <v>42887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194.27251432500898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167</v>
      </c>
      <c r="D17" s="110" t="s">
        <v>30</v>
      </c>
      <c r="E17" s="30" t="str">
        <f>$E$8</f>
        <v>$millions</v>
      </c>
      <c r="F17" s="160">
        <f>$F$8</f>
        <v>44713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211.61488999402195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60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168</v>
      </c>
      <c r="D19" s="108" t="s">
        <v>92</v>
      </c>
      <c r="E19" s="30" t="str">
        <f>'Input|Reported opex'!E64</f>
        <v>$millions</v>
      </c>
      <c r="F19" s="160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0.64476800000000001</v>
      </c>
      <c r="L19" s="109">
        <f>IF(YEAR(L$4)=BaseYear,'Input|Reported opex'!L57,0)</f>
        <v>0</v>
      </c>
      <c r="M19" s="109">
        <f>IF(YEAR(M$4)=BaseYear,'Input|Reported opex'!M57,0)</f>
        <v>0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168</v>
      </c>
      <c r="D20" s="110" t="s">
        <v>30</v>
      </c>
      <c r="E20" s="30" t="str">
        <f>$E$8</f>
        <v>$millions</v>
      </c>
      <c r="F20" s="160">
        <f>$F$8</f>
        <v>44713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0.68261494488522778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169</v>
      </c>
      <c r="D21" s="108" t="s">
        <v>92</v>
      </c>
      <c r="E21" s="30" t="str">
        <f>'Input|Reported opex'!E22</f>
        <v>$millions</v>
      </c>
      <c r="F21" s="160">
        <f>'Input|Reported opex'!F29</f>
        <v>42887</v>
      </c>
      <c r="J21" s="109">
        <f>IF(YEAR(J$4)=BaseYear,'Input|Reported opex'!J29,0)</f>
        <v>0</v>
      </c>
      <c r="K21" s="109">
        <f>IF(YEAR(K$4)=BaseYear,'Input|Reported opex'!K29,0)</f>
        <v>3.5685976033943958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169</v>
      </c>
      <c r="D22" s="110" t="s">
        <v>30</v>
      </c>
      <c r="E22" s="30" t="str">
        <f>$E$8</f>
        <v>$millions</v>
      </c>
      <c r="F22" s="160">
        <f>$F$8</f>
        <v>44713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3.8871602187217973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170</v>
      </c>
      <c r="D23" s="108" t="s">
        <v>92</v>
      </c>
      <c r="E23" s="30" t="str">
        <f>'Input|Reported opex'!E22</f>
        <v>$millions</v>
      </c>
      <c r="F23" s="160">
        <f>'Input|Reported opex'!F29</f>
        <v>42887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3.4324239586567611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170</v>
      </c>
      <c r="D24" s="110" t="s">
        <v>30</v>
      </c>
      <c r="E24" s="30" t="str">
        <f>$E$8</f>
        <v>$millions</v>
      </c>
      <c r="F24" s="160">
        <f>$F$8</f>
        <v>44713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3.7388305852100228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3:20" outlineLevel="1">
      <c r="C26" s="113" t="s">
        <v>141</v>
      </c>
      <c r="D26" s="114" t="s">
        <v>30</v>
      </c>
      <c r="E26" s="114" t="str">
        <f>$E$8</f>
        <v>$millions</v>
      </c>
      <c r="F26" s="160">
        <f>$F$8</f>
        <v>44713</v>
      </c>
      <c r="J26" s="115">
        <f ca="1">J13</f>
        <v>0</v>
      </c>
      <c r="K26" s="115">
        <f t="shared" ref="K26:S26" ca="1" si="1">K13</f>
        <v>208.8655203068729</v>
      </c>
      <c r="L26" s="115">
        <f t="shared" ca="1" si="1"/>
        <v>0</v>
      </c>
      <c r="M26" s="115">
        <f t="shared" ca="1" si="1"/>
        <v>0</v>
      </c>
      <c r="N26" s="115">
        <f t="shared" ca="1" si="1"/>
        <v>0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outlineLevel="1">
      <c r="C27" s="123"/>
      <c r="D27" s="110"/>
      <c r="E27" s="110"/>
      <c r="F27" s="160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outlineLevel="1">
      <c r="C28" s="123" t="s">
        <v>163</v>
      </c>
      <c r="D28" s="108" t="s">
        <v>92</v>
      </c>
      <c r="E28" s="110" t="str">
        <f>'Input|Reported opex'!E69</f>
        <v>$millions</v>
      </c>
      <c r="F28" s="160">
        <f>'Input|Reported opex'!F69</f>
        <v>44348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0">
        <f>$F$8</f>
        <v>44713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3"/>
      <c r="D30" s="110"/>
      <c r="E30" s="110"/>
      <c r="F30" s="16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outlineLevel="1">
      <c r="C31" s="123" t="s">
        <v>161</v>
      </c>
      <c r="D31" s="110" t="s">
        <v>30</v>
      </c>
      <c r="E31" s="110" t="str">
        <f>$E$8</f>
        <v>$millions</v>
      </c>
      <c r="F31" s="160">
        <f>$F$8</f>
        <v>44713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-1.9216948278622681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  <c r="T31" s="176"/>
    </row>
    <row r="32" spans="3:20" outlineLevel="1">
      <c r="C32" s="123"/>
      <c r="D32" s="110"/>
      <c r="E32" s="110"/>
      <c r="F32" s="160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3:20" outlineLevel="1">
      <c r="C33" s="123" t="s">
        <v>105</v>
      </c>
      <c r="D33" s="110" t="s">
        <v>30</v>
      </c>
      <c r="E33" s="110" t="str">
        <f>$E$8</f>
        <v>$millions</v>
      </c>
      <c r="F33" s="160">
        <f>$F$8</f>
        <v>44713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ca="1" si="3"/>
        <v>206.94382547901063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  <c r="T33" s="176"/>
    </row>
    <row r="34" spans="3:20" outlineLevel="1">
      <c r="C34" s="123"/>
      <c r="D34" s="110"/>
      <c r="E34" s="110"/>
      <c r="F34" s="160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</row>
    <row r="35" spans="3:20" outlineLevel="1">
      <c r="C35" s="123" t="s">
        <v>171</v>
      </c>
      <c r="D35" s="110" t="s">
        <v>30</v>
      </c>
      <c r="E35" s="110" t="str">
        <f>$E$8</f>
        <v>$millions</v>
      </c>
      <c r="F35" s="160">
        <f>$F$8</f>
        <v>44713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-0.53428531137345336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outlineLevel="1">
      <c r="C36" s="123"/>
      <c r="D36" s="110"/>
      <c r="E36" s="110"/>
      <c r="F36" s="160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outlineLevel="1">
      <c r="C37" s="123" t="str">
        <f>'Input|Reported opex'!$C$63</f>
        <v>Adjustment 1</v>
      </c>
      <c r="D37" s="108" t="s">
        <v>92</v>
      </c>
      <c r="E37" s="110" t="str">
        <f>'Input|Reported opex'!E63</f>
        <v>$millions</v>
      </c>
      <c r="F37" s="160">
        <f>'Input|Reported opex'!F63</f>
        <v>44348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0">
        <f>$F$8</f>
        <v>44713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3"/>
      <c r="D39" s="110"/>
      <c r="F39" s="160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outlineLevel="1">
      <c r="C40" s="123" t="str">
        <f>'Input|Reported opex'!$C$64</f>
        <v>Adjustment 2</v>
      </c>
      <c r="D40" s="108" t="s">
        <v>92</v>
      </c>
      <c r="E40" s="30" t="str">
        <f>'Input|Reported opex'!$E$64</f>
        <v>$millions</v>
      </c>
      <c r="F40" s="160">
        <f>'Input|Reported opex'!$F$64</f>
        <v>44348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0">
        <f>$F$8</f>
        <v>44713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3"/>
      <c r="D42" s="110"/>
      <c r="F42" s="160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outlineLevel="1">
      <c r="C43" s="123" t="str">
        <f>'Input|Reported opex'!$C$65</f>
        <v>Adjustment 3</v>
      </c>
      <c r="D43" s="108" t="s">
        <v>92</v>
      </c>
      <c r="E43" s="30" t="str">
        <f>'Input|Reported opex'!$E$65</f>
        <v>$millions</v>
      </c>
      <c r="F43" s="160">
        <f>'Input|Reported opex'!$F$65</f>
        <v>44348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0">
        <f>$F$8</f>
        <v>44713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3"/>
      <c r="D45" s="110"/>
      <c r="F45" s="160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outlineLevel="1">
      <c r="C46" s="123" t="str">
        <f>'Input|Reported opex'!$C$66</f>
        <v>Adjustment 4</v>
      </c>
      <c r="D46" s="108" t="s">
        <v>92</v>
      </c>
      <c r="E46" s="30" t="str">
        <f>'Input|Reported opex'!$E$66</f>
        <v>$millions</v>
      </c>
      <c r="F46" s="160">
        <f>'Input|Reported opex'!$F$66</f>
        <v>44348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0">
        <f>$F$8</f>
        <v>44713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3"/>
      <c r="D48" s="110"/>
      <c r="F48" s="160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outlineLevel="1">
      <c r="C49" s="123" t="str">
        <f>'Input|Reported opex'!$C$67</f>
        <v>Adjustment 5</v>
      </c>
      <c r="D49" s="108" t="s">
        <v>92</v>
      </c>
      <c r="E49" s="30" t="str">
        <f>'Input|Reported opex'!$E$67</f>
        <v>$millions</v>
      </c>
      <c r="F49" s="160">
        <f>'Input|Reported opex'!$F$67</f>
        <v>44348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0">
        <f>$F$8</f>
        <v>44713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3"/>
      <c r="D51" s="110"/>
      <c r="E51" s="110"/>
      <c r="F51" s="160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outlineLevel="1">
      <c r="C52" s="123" t="s">
        <v>89</v>
      </c>
      <c r="D52" s="110" t="s">
        <v>98</v>
      </c>
      <c r="E52" s="110" t="str">
        <f>$E$8</f>
        <v>$millions</v>
      </c>
      <c r="F52" s="160">
        <f>$F$8</f>
        <v>44713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 ca="1"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outlineLevel="1">
      <c r="C53" s="123"/>
      <c r="D53" s="110"/>
      <c r="E53" s="110"/>
      <c r="F53" s="160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77" t="s">
        <v>172</v>
      </c>
      <c r="D54" s="112" t="s">
        <v>98</v>
      </c>
      <c r="E54" s="112" t="str">
        <f>$E$8</f>
        <v>$millions</v>
      </c>
      <c r="F54" s="178">
        <f>$F$8</f>
        <v>44713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ca="1" si="5"/>
        <v>206.40954016763718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  <c r="T54" s="176"/>
    </row>
    <row r="55" spans="1:48">
      <c r="J55" s="107"/>
      <c r="K55" s="107"/>
      <c r="L55" s="107"/>
    </row>
    <row r="56" spans="1:48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2" t="str">
        <f>IF(YEAR(J$4)&gt;='Input|General'!$G$13,IF(YEAR(J$4)&lt;='Input|General'!$G$14,J$4,""),"")</f>
        <v/>
      </c>
      <c r="K58" s="162" t="str">
        <f>IF(YEAR(K$4)&gt;='Input|General'!$G$13,IF(YEAR(K$4)&lt;='Input|General'!$G$14,K$4,""),"")</f>
        <v/>
      </c>
      <c r="L58" s="162" t="str">
        <f>IF(YEAR(L$4)&gt;='Input|General'!$G$13,IF(YEAR(L$4)&lt;='Input|General'!$G$14,L$4,""),"")</f>
        <v/>
      </c>
      <c r="M58" s="162" t="str">
        <f>IF(YEAR(M$4)&gt;='Input|General'!$G$13,IF(YEAR(M$4)&lt;='Input|General'!$G$14,M$4,""),"")</f>
        <v/>
      </c>
      <c r="N58" s="162" t="str">
        <f>IF(YEAR(N$4)&gt;='Input|General'!$G$13,IF(YEAR(N$4)&lt;='Input|General'!$G$14,N$4,""),"")</f>
        <v/>
      </c>
      <c r="O58" s="162">
        <f>IF(YEAR(O$4)&gt;='Input|General'!$G$13,IF(YEAR(O$4)&lt;='Input|General'!$G$14,O$4,""),"")</f>
        <v>45078</v>
      </c>
      <c r="P58" s="162">
        <f>IF(YEAR(P$4)&gt;='Input|General'!$G$13,IF(YEAR(P$4)&lt;='Input|General'!$G$14,P$4,""),"")</f>
        <v>45444</v>
      </c>
      <c r="Q58" s="162">
        <f>IF(YEAR(Q$4)&gt;='Input|General'!$G$13,IF(YEAR(Q$4)&lt;='Input|General'!$G$14,Q$4,""),"")</f>
        <v>45809</v>
      </c>
      <c r="R58" s="162">
        <f>IF(YEAR(R$4)&gt;='Input|General'!$G$13,IF(YEAR(R$4)&lt;='Input|General'!$G$14,R$4,""),"")</f>
        <v>46174</v>
      </c>
      <c r="S58" s="162">
        <f>IF(YEAR(S$4)&gt;='Input|General'!$G$13,IF(YEAR(S$4)&lt;='Input|General'!$G$14,S$4,""),"")</f>
        <v>46539</v>
      </c>
      <c r="T58" s="162" t="str">
        <f>IF(YEAR(T$4)&gt;='Input|General'!$G$13,IF(YEAR(T$4)&lt;='Input|General'!$G$14,T$4,""),"")</f>
        <v/>
      </c>
    </row>
    <row r="59" spans="1:48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2.5335078244079169E-3</v>
      </c>
      <c r="P61" s="117">
        <f ca="1">IF(P58=P4,AVERAGE(OFFSET('Input|Rate of change'!Q97,0,0,COUNTA('Input|Rate of change'!$J$84:$M$84),1)),0)</f>
        <v>1.3616602009462176E-2</v>
      </c>
      <c r="Q61" s="117">
        <f ca="1">IF(Q58=Q4,AVERAGE(OFFSET('Input|Rate of change'!R97,0,0,COUNTA('Input|Rate of change'!$J$84:$M$84),1)),0)</f>
        <v>-3.830039287335385E-3</v>
      </c>
      <c r="R61" s="117">
        <f ca="1">IF(R58=R4,AVERAGE(OFFSET('Input|Rate of change'!S97,0,0,COUNTA('Input|Rate of change'!$J$84:$M$84),1)),0)</f>
        <v>7.119809867455264E-4</v>
      </c>
      <c r="S61" s="117">
        <f ca="1">IF(S58=S4,AVERAGE(OFFSET('Input|Rate of change'!T97,0,0,COUNTA('Input|Rate of change'!$J$84:$M$84),1)),0)</f>
        <v>1.9507588306747182E-3</v>
      </c>
      <c r="T61" s="117">
        <f ca="1">IF(T58=T4,AVERAGE(OFFSET('Input|Rate of change'!U97,0,0,COUNTA('Input|Rate of change'!$J$84:$M$84),1)),0)</f>
        <v>0</v>
      </c>
    </row>
    <row r="62" spans="1:48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48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change'!K38:K45,'Input|Rate of change'!K51:K58)</f>
        <v>0</v>
      </c>
      <c r="K63" s="117">
        <f>SUMPRODUCT('Input|Rate of change'!L38:L45,'Input|Rate of change'!L51:L58)</f>
        <v>0</v>
      </c>
      <c r="L63" s="117">
        <f>SUMPRODUCT('Input|Rate of change'!M38:M45,'Input|Rate of change'!M51:M58)</f>
        <v>0</v>
      </c>
      <c r="M63" s="117">
        <f>SUMPRODUCT('Input|Rate of change'!N38:N45,'Input|Rate of change'!N51:N58)</f>
        <v>0</v>
      </c>
      <c r="N63" s="117">
        <f>SUMPRODUCT('Input|Rate of change'!O38:O45,'Input|Rate of change'!O51:O58)</f>
        <v>0</v>
      </c>
      <c r="O63" s="117">
        <f>SUMPRODUCT('Input|Rate of change'!P38:P45,'Input|Rate of change'!P51:P58)</f>
        <v>5.2104868379013371E-3</v>
      </c>
      <c r="P63" s="117">
        <f>SUMPRODUCT('Input|Rate of change'!Q38:Q45,'Input|Rate of change'!Q51:Q58)</f>
        <v>5.2443492202857399E-3</v>
      </c>
      <c r="Q63" s="117">
        <f>SUMPRODUCT('Input|Rate of change'!R38:R45,'Input|Rate of change'!R51:R58)</f>
        <v>6.4971934509189585E-3</v>
      </c>
      <c r="R63" s="117">
        <f>SUMPRODUCT('Input|Rate of change'!S38:S45,'Input|Rate of change'!S51:S58)</f>
        <v>6.6788532472412164E-3</v>
      </c>
      <c r="S63" s="117">
        <f>SUMPRODUCT('Input|Rate of change'!T38:T45,'Input|Rate of change'!T51:T58)</f>
        <v>4.4091985626093901E-3</v>
      </c>
      <c r="T63" s="117">
        <f>SUMPRODUCT('Input|Rate of change'!U38:U45,'Input|Rate of change'!U51:U58)</f>
        <v>0</v>
      </c>
    </row>
    <row r="64" spans="1:48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change'!K106</f>
        <v>0</v>
      </c>
      <c r="K65" s="117">
        <f>'Input|Rate of change'!L106</f>
        <v>0</v>
      </c>
      <c r="L65" s="117">
        <f>'Input|Rate of change'!M106</f>
        <v>0</v>
      </c>
      <c r="M65" s="117">
        <f>'Input|Rate of change'!N106</f>
        <v>0</v>
      </c>
      <c r="N65" s="117">
        <f>'Input|Rate of change'!O106</f>
        <v>0</v>
      </c>
      <c r="O65" s="117">
        <f>'Input|Rate of change'!P106</f>
        <v>3.0999999999999999E-3</v>
      </c>
      <c r="P65" s="117">
        <f>'Input|Rate of change'!Q106</f>
        <v>3.0999999999999999E-3</v>
      </c>
      <c r="Q65" s="117">
        <f>'Input|Rate of change'!R106</f>
        <v>3.0999999999999999E-3</v>
      </c>
      <c r="R65" s="117">
        <f>'Input|Rate of change'!S106</f>
        <v>3.0999999999999999E-3</v>
      </c>
      <c r="S65" s="117">
        <f>'Input|Rate of change'!T106</f>
        <v>3.0999999999999999E-3</v>
      </c>
      <c r="T65" s="117">
        <f>'Input|Rate of change'!U106</f>
        <v>0</v>
      </c>
    </row>
    <row r="66" spans="1:48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</row>
    <row r="67" spans="1:48" outlineLevel="1">
      <c r="C67" s="118" t="s">
        <v>142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4.6331481655206286E-3</v>
      </c>
      <c r="P67" s="143">
        <f t="shared" ca="1" si="6"/>
        <v>1.5773671125396849E-2</v>
      </c>
      <c r="Q67" s="143">
        <f t="shared" ca="1" si="6"/>
        <v>-4.6592137852863313E-4</v>
      </c>
      <c r="R67" s="143">
        <f t="shared" ca="1" si="6"/>
        <v>4.2726631232155032E-3</v>
      </c>
      <c r="S67" s="143">
        <f t="shared" ca="1" si="6"/>
        <v>3.2488161444197416E-3</v>
      </c>
      <c r="T67" s="143">
        <f t="shared" ref="T67" ca="1" si="7">(1+T61)*(1+T63)*(1-T65)-1</f>
        <v>0</v>
      </c>
    </row>
    <row r="68" spans="1:48" outlineLevel="1">
      <c r="C68" s="124" t="s">
        <v>143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4.6331481655206286E-3</v>
      </c>
      <c r="P68" s="117">
        <f t="array" aca="1" ref="P68" ca="1">IF(P$58=P$4,PRODUCT(1+$J67:P67)-1,"")</f>
        <v>2.0479901046355664E-2</v>
      </c>
      <c r="Q68" s="117">
        <f t="array" aca="1" ref="Q68" ca="1">IF(Q$58=Q$4,PRODUCT(1+$J67:Q67)-1,"")</f>
        <v>2.0004437644099315E-2</v>
      </c>
      <c r="R68" s="117">
        <f t="array" aca="1" ref="R68" ca="1">IF(R$58=R$4,PRODUCT(1+$J67:R67)-1,"")</f>
        <v>2.4362572990337394E-2</v>
      </c>
      <c r="S68" s="117">
        <f t="array" aca="1" ref="S68" ca="1">IF(S$58=S$4,PRODUCT(1+$J67:S67)-1,"")</f>
        <v>2.7690538655207764E-2</v>
      </c>
      <c r="T68" s="117" t="str">
        <f t="array" ref="T68">IF(T$58=T$4,PRODUCT(1+$J67:T67)-1,"")</f>
        <v/>
      </c>
    </row>
    <row r="69" spans="1:48">
      <c r="J69" s="107"/>
      <c r="K69" s="107"/>
      <c r="L69" s="107"/>
      <c r="M69" s="107"/>
      <c r="N69" s="107"/>
      <c r="O69" s="119"/>
      <c r="P69" s="119"/>
      <c r="Q69" s="119"/>
      <c r="R69" s="119"/>
      <c r="S69" s="119"/>
      <c r="T69" s="119"/>
    </row>
    <row r="70" spans="1:48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98"/>
      <c r="Y70" s="99"/>
      <c r="Z70" s="99"/>
      <c r="AA70" s="99"/>
      <c r="AB70" s="99"/>
      <c r="AC70" s="100"/>
      <c r="AD70" s="101"/>
      <c r="AE70" s="101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</row>
    <row r="71" spans="1:48" outlineLevel="1">
      <c r="C71" s="106"/>
      <c r="J71" s="107"/>
      <c r="K71" s="107"/>
      <c r="L71" s="107"/>
    </row>
    <row r="72" spans="1:48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2" t="str">
        <f>IF(YEAR(J$4)&gt;='Input|General'!$G$13,IF(YEAR(J$4)&lt;='Input|General'!$G$14,J$4,""),"")</f>
        <v/>
      </c>
      <c r="K72" s="162" t="str">
        <f>IF(YEAR(K$4)&gt;='Input|General'!$G$13,IF(YEAR(K$4)&lt;='Input|General'!$G$14,K$4,""),"")</f>
        <v/>
      </c>
      <c r="L72" s="162" t="str">
        <f>IF(YEAR(L$4)&gt;='Input|General'!$G$13,IF(YEAR(L$4)&lt;='Input|General'!$G$14,L$4,""),"")</f>
        <v/>
      </c>
      <c r="M72" s="162" t="str">
        <f>IF(YEAR(M$4)&gt;='Input|General'!$G$13,IF(YEAR(M$4)&lt;='Input|General'!$G$14,M$4,""),"")</f>
        <v/>
      </c>
      <c r="N72" s="162" t="str">
        <f>IF(YEAR(N$4)&gt;='Input|General'!$G$13,IF(YEAR(N$4)&lt;='Input|General'!$G$14,N$4,""),"")</f>
        <v/>
      </c>
      <c r="O72" s="162">
        <f>IF(YEAR(O$4)&gt;='Input|General'!$G$13,IF(YEAR(O$4)&lt;='Input|General'!$G$14,O$4,""),"")</f>
        <v>45078</v>
      </c>
      <c r="P72" s="162">
        <f>IF(YEAR(P$4)&gt;='Input|General'!$G$13,IF(YEAR(P$4)&lt;='Input|General'!$G$14,P$4,""),"")</f>
        <v>45444</v>
      </c>
      <c r="Q72" s="162">
        <f>IF(YEAR(Q$4)&gt;='Input|General'!$G$13,IF(YEAR(Q$4)&lt;='Input|General'!$G$14,Q$4,""),"")</f>
        <v>45809</v>
      </c>
      <c r="R72" s="162">
        <f>IF(YEAR(R$4)&gt;='Input|General'!$G$13,IF(YEAR(R$4)&lt;='Input|General'!$G$14,R$4,""),"")</f>
        <v>46174</v>
      </c>
      <c r="S72" s="162">
        <f>IF(YEAR(S$4)&gt;='Input|General'!$G$13,IF(YEAR(S$4)&lt;='Input|General'!$G$14,S$4,""),"")</f>
        <v>46539</v>
      </c>
      <c r="T72" s="162" t="str">
        <f>IF(YEAR(T$4)&gt;='Input|General'!$G$13,IF(YEAR(T$4)&lt;='Input|General'!$G$14,T$4,""),"")</f>
        <v/>
      </c>
    </row>
    <row r="73" spans="1:48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</row>
    <row r="74" spans="1:48" outlineLevel="1">
      <c r="C74" s="121">
        <f>'Input|Step changes'!C12</f>
        <v>0</v>
      </c>
      <c r="D74" s="110" t="s">
        <v>30</v>
      </c>
      <c r="E74" s="30" t="str">
        <f t="shared" ref="E74:E94" si="8">$E$8</f>
        <v>$millions</v>
      </c>
      <c r="F74" s="160">
        <f t="shared" ref="F74:F84" si="9">$F$8</f>
        <v>44713</v>
      </c>
      <c r="J74" s="127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127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127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127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127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127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P74" s="127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Q74" s="127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R74" s="127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S74" s="127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T74" s="127">
        <f>'Input|Step changes'!T12*INDEX('Input|Rate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</row>
    <row r="75" spans="1:48" outlineLevel="1">
      <c r="C75" s="121">
        <f>'Input|Step changes'!C13</f>
        <v>0</v>
      </c>
      <c r="D75" s="110" t="s">
        <v>30</v>
      </c>
      <c r="E75" s="30" t="str">
        <f t="shared" si="8"/>
        <v>$millions</v>
      </c>
      <c r="F75" s="160">
        <f t="shared" si="9"/>
        <v>44713</v>
      </c>
      <c r="J75" s="127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127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127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127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127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127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P75" s="127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Q75" s="127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R75" s="127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S75" s="127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T75" s="127">
        <f>'Input|Step changes'!T13*INDEX('Input|Rate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</row>
    <row r="76" spans="1:48" outlineLevel="1">
      <c r="C76" s="121">
        <f>'Input|Step changes'!C14</f>
        <v>0</v>
      </c>
      <c r="D76" s="110" t="s">
        <v>30</v>
      </c>
      <c r="E76" s="30" t="str">
        <f t="shared" si="8"/>
        <v>$millions</v>
      </c>
      <c r="F76" s="160">
        <f t="shared" si="9"/>
        <v>44713</v>
      </c>
      <c r="J76" s="127">
        <f>'Input|Step changes'!J14*INDEX('Input|Rate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K76" s="127">
        <f>'Input|Step changes'!K14*INDEX('Input|Rate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L76" s="127">
        <f>'Input|Step changes'!L14*INDEX('Input|Rate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M76" s="127">
        <f>'Input|Step changes'!M14*INDEX('Input|Rate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N76" s="127">
        <f>'Input|Step changes'!N14*INDEX('Input|Rate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O76" s="127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P76" s="127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Q76" s="127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R76" s="127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S76" s="127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T76" s="127">
        <f>'Input|Step changes'!T14*INDEX('Input|Rate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</row>
    <row r="77" spans="1:48" outlineLevel="1">
      <c r="C77" s="121">
        <f>'Input|Step changes'!C15</f>
        <v>0</v>
      </c>
      <c r="D77" s="110" t="s">
        <v>30</v>
      </c>
      <c r="E77" s="30" t="str">
        <f t="shared" si="8"/>
        <v>$millions</v>
      </c>
      <c r="F77" s="160">
        <f t="shared" si="9"/>
        <v>44713</v>
      </c>
      <c r="J77" s="127">
        <f>'Input|Step changes'!J15*INDEX('Input|Rate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K77" s="127">
        <f>'Input|Step changes'!K15*INDEX('Input|Rate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L77" s="127">
        <f>'Input|Step changes'!L15*INDEX('Input|Rate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M77" s="127">
        <f>'Input|Step changes'!M15*INDEX('Input|Rate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N77" s="127">
        <f>'Input|Step changes'!N15*INDEX('Input|Rate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O77" s="127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P77" s="127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Q77" s="127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R77" s="127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S77" s="127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T77" s="127">
        <f>'Input|Step changes'!T15*INDEX('Input|Rate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</row>
    <row r="78" spans="1:48" outlineLevel="1">
      <c r="C78" s="121">
        <f>'Input|Step changes'!C16</f>
        <v>0</v>
      </c>
      <c r="D78" s="110" t="s">
        <v>30</v>
      </c>
      <c r="E78" s="30" t="str">
        <f t="shared" si="8"/>
        <v>$millions</v>
      </c>
      <c r="F78" s="160">
        <f t="shared" si="9"/>
        <v>44713</v>
      </c>
      <c r="J78" s="127">
        <f>'Input|Step changes'!J16*INDEX('Input|Rate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K78" s="127">
        <f>'Input|Step changes'!K16*INDEX('Input|Rate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L78" s="127">
        <f>'Input|Step changes'!L16*INDEX('Input|Rate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M78" s="127">
        <f>'Input|Step changes'!M16*INDEX('Input|Rate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N78" s="127">
        <f>'Input|Step changes'!N16*INDEX('Input|Rate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O78" s="127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P78" s="127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Q78" s="127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R78" s="127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S78" s="127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T78" s="127">
        <f>'Input|Step changes'!T16*INDEX('Input|Rate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</row>
    <row r="79" spans="1:48" outlineLevel="1">
      <c r="C79" s="121">
        <f>'Input|Step changes'!C17</f>
        <v>0</v>
      </c>
      <c r="D79" s="110" t="s">
        <v>30</v>
      </c>
      <c r="E79" s="30" t="str">
        <f t="shared" si="8"/>
        <v>$millions</v>
      </c>
      <c r="F79" s="160">
        <f t="shared" si="9"/>
        <v>44713</v>
      </c>
      <c r="J79" s="127">
        <f>'Input|Step changes'!J17*INDEX('Input|Rate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K79" s="127">
        <f>'Input|Step changes'!K17*INDEX('Input|Rate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L79" s="127">
        <f>'Input|Step changes'!L17*INDEX('Input|Rate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M79" s="127">
        <f>'Input|Step changes'!M17*INDEX('Input|Rate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N79" s="127">
        <f>'Input|Step changes'!N17*INDEX('Input|Rate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O79" s="127">
        <f>'Input|Step changes'!O17*INDEX('Input|Rate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P79" s="127">
        <f>'Input|Step changes'!P17*INDEX('Input|Rate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Q79" s="127">
        <f>'Input|Step changes'!Q17*INDEX('Input|Rate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R79" s="127">
        <f>'Input|Step changes'!R17*INDEX('Input|Rate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S79" s="127">
        <f>'Input|Step changes'!S17*INDEX('Input|Rate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T79" s="127">
        <f>'Input|Step changes'!T17*INDEX('Input|Rate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</row>
    <row r="80" spans="1:48" outlineLevel="1">
      <c r="C80" s="121">
        <f>'Input|Step changes'!C18</f>
        <v>0</v>
      </c>
      <c r="D80" s="110" t="s">
        <v>30</v>
      </c>
      <c r="E80" s="30" t="str">
        <f t="shared" si="8"/>
        <v>$millions</v>
      </c>
      <c r="F80" s="160">
        <f t="shared" si="9"/>
        <v>44713</v>
      </c>
      <c r="J80" s="127">
        <f>'Input|Step changes'!J18*INDEX('Input|Rate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K80" s="127">
        <f>'Input|Step changes'!K18*INDEX('Input|Rate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L80" s="127">
        <f>'Input|Step changes'!L18*INDEX('Input|Rate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M80" s="127">
        <f>'Input|Step changes'!M18*INDEX('Input|Rate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N80" s="127">
        <f>'Input|Step changes'!N18*INDEX('Input|Rate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O80" s="127">
        <f>'Input|Step changes'!O18*INDEX('Input|Rate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P80" s="127">
        <f>'Input|Step changes'!P18*INDEX('Input|Rate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Q80" s="127">
        <f>'Input|Step changes'!Q18*INDEX('Input|Rate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R80" s="127">
        <f>'Input|Step changes'!R18*INDEX('Input|Rate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S80" s="127">
        <f>'Input|Step changes'!S18*INDEX('Input|Rate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T80" s="127">
        <f>'Input|Step changes'!T18*INDEX('Input|Rate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</row>
    <row r="81" spans="1:48" outlineLevel="1">
      <c r="C81" s="121">
        <f>'Input|Step changes'!C19</f>
        <v>0</v>
      </c>
      <c r="D81" s="110" t="s">
        <v>30</v>
      </c>
      <c r="E81" s="30" t="str">
        <f t="shared" si="8"/>
        <v>$millions</v>
      </c>
      <c r="F81" s="160">
        <f t="shared" si="9"/>
        <v>44713</v>
      </c>
      <c r="J81" s="127">
        <f>'Input|Step changes'!J19*INDEX('Input|Rate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K81" s="127">
        <f>'Input|Step changes'!K19*INDEX('Input|Rate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L81" s="127">
        <f>'Input|Step changes'!L19*INDEX('Input|Rate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M81" s="127">
        <f>'Input|Step changes'!M19*INDEX('Input|Rate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N81" s="127">
        <f>'Input|Step changes'!N19*INDEX('Input|Rate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O81" s="127">
        <f>'Input|Step changes'!O19*INDEX('Input|Rate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P81" s="127">
        <f>'Input|Step changes'!P19*INDEX('Input|Rate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Q81" s="127">
        <f>'Input|Step changes'!Q19*INDEX('Input|Rate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R81" s="127">
        <f>'Input|Step changes'!R19*INDEX('Input|Rate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S81" s="127">
        <f>'Input|Step changes'!S19*INDEX('Input|Rate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T81" s="127">
        <f>'Input|Step changes'!T19*INDEX('Input|Rate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</row>
    <row r="82" spans="1:48" outlineLevel="1">
      <c r="C82" s="121">
        <f>'Input|Step changes'!C20</f>
        <v>0</v>
      </c>
      <c r="D82" s="110" t="s">
        <v>30</v>
      </c>
      <c r="E82" s="30" t="str">
        <f t="shared" si="8"/>
        <v>$millions</v>
      </c>
      <c r="F82" s="160">
        <f t="shared" si="9"/>
        <v>44713</v>
      </c>
      <c r="J82" s="127">
        <f>'Input|Step changes'!J20*INDEX('Input|Rate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K82" s="127">
        <f>'Input|Step changes'!K20*INDEX('Input|Rate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L82" s="127">
        <f>'Input|Step changes'!L20*INDEX('Input|Rate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M82" s="127">
        <f>'Input|Step changes'!M20*INDEX('Input|Rate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N82" s="127">
        <f>'Input|Step changes'!N20*INDEX('Input|Rate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O82" s="127">
        <f>'Input|Step changes'!O20*INDEX('Input|Rate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P82" s="127">
        <f>'Input|Step changes'!P20*INDEX('Input|Rate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Q82" s="127">
        <f>'Input|Step changes'!Q20*INDEX('Input|Rate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R82" s="127">
        <f>'Input|Step changes'!R20*INDEX('Input|Rate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S82" s="127">
        <f>'Input|Step changes'!S20*INDEX('Input|Rate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T82" s="127">
        <f>'Input|Step changes'!T20*INDEX('Input|Rate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</row>
    <row r="83" spans="1:48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1:48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9"/>
        <v>44713</v>
      </c>
      <c r="G84" s="32"/>
      <c r="H84" s="32"/>
      <c r="I84" s="32"/>
      <c r="J84" s="175">
        <f>SUM(J73:J83)</f>
        <v>0</v>
      </c>
      <c r="K84" s="175">
        <f t="shared" ref="K84:S84" si="10">SUM(K73:K83)</f>
        <v>0</v>
      </c>
      <c r="L84" s="175">
        <f t="shared" si="10"/>
        <v>0</v>
      </c>
      <c r="M84" s="175">
        <f t="shared" si="10"/>
        <v>0</v>
      </c>
      <c r="N84" s="175">
        <f t="shared" si="10"/>
        <v>0</v>
      </c>
      <c r="O84" s="175">
        <f t="shared" si="10"/>
        <v>0</v>
      </c>
      <c r="P84" s="175">
        <f t="shared" si="10"/>
        <v>0</v>
      </c>
      <c r="Q84" s="175">
        <f t="shared" si="10"/>
        <v>0</v>
      </c>
      <c r="R84" s="175">
        <f t="shared" si="10"/>
        <v>0</v>
      </c>
      <c r="S84" s="175">
        <f t="shared" si="10"/>
        <v>0</v>
      </c>
      <c r="T84" s="175">
        <f t="shared" ref="T84" si="11">SUM(T73:T83)</f>
        <v>0</v>
      </c>
    </row>
    <row r="85" spans="1:48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  <c r="T85" s="23"/>
    </row>
    <row r="86" spans="1:48" s="103" customFormat="1" ht="12.75">
      <c r="A86" s="94"/>
      <c r="B86" s="95" t="s">
        <v>120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outlineLevel="1">
      <c r="C87" s="106"/>
      <c r="J87" s="107"/>
      <c r="K87" s="107"/>
      <c r="L87" s="107"/>
    </row>
    <row r="88" spans="1:48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2" t="str">
        <f>IF(YEAR(J$4)&gt;='Input|General'!$G$13,IF(YEAR(J$4)&lt;='Input|General'!$G$14,J$4,""),"")</f>
        <v/>
      </c>
      <c r="K88" s="162" t="str">
        <f>IF(YEAR(K$4)&gt;='Input|General'!$G$13,IF(YEAR(K$4)&lt;='Input|General'!$G$14,K$4,""),"")</f>
        <v/>
      </c>
      <c r="L88" s="162" t="str">
        <f>IF(YEAR(L$4)&gt;='Input|General'!$G$13,IF(YEAR(L$4)&lt;='Input|General'!$G$14,L$4,""),"")</f>
        <v/>
      </c>
      <c r="M88" s="162" t="str">
        <f>IF(YEAR(M$4)&gt;='Input|General'!$G$13,IF(YEAR(M$4)&lt;='Input|General'!$G$14,M$4,""),"")</f>
        <v/>
      </c>
      <c r="N88" s="162" t="str">
        <f>IF(YEAR(N$4)&gt;='Input|General'!$G$13,IF(YEAR(N$4)&lt;='Input|General'!$G$14,N$4,""),"")</f>
        <v/>
      </c>
      <c r="O88" s="162">
        <f>IF(YEAR(O$4)&gt;='Input|General'!$G$13,IF(YEAR(O$4)&lt;='Input|General'!$G$14,O$4,""),"")</f>
        <v>45078</v>
      </c>
      <c r="P88" s="162">
        <f>IF(YEAR(P$4)&gt;='Input|General'!$G$13,IF(YEAR(P$4)&lt;='Input|General'!$G$14,P$4,""),"")</f>
        <v>45444</v>
      </c>
      <c r="Q88" s="162">
        <f>IF(YEAR(Q$4)&gt;='Input|General'!$G$13,IF(YEAR(Q$4)&lt;='Input|General'!$G$14,Q$4,""),"")</f>
        <v>45809</v>
      </c>
      <c r="R88" s="162">
        <f>IF(YEAR(R$4)&gt;='Input|General'!$G$13,IF(YEAR(R$4)&lt;='Input|General'!$G$14,R$4,""),"")</f>
        <v>46174</v>
      </c>
      <c r="S88" s="162">
        <f>IF(YEAR(S$4)&gt;='Input|General'!$G$13,IF(YEAR(S$4)&lt;='Input|General'!$G$14,S$4,""),"")</f>
        <v>46539</v>
      </c>
      <c r="T88" s="162" t="str">
        <f>IF(YEAR(T$4)&gt;='Input|General'!$G$13,IF(YEAR(T$4)&lt;='Input|General'!$G$14,T$4,""),"")</f>
        <v/>
      </c>
    </row>
    <row r="89" spans="1:48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</row>
    <row r="90" spans="1:48" outlineLevel="1">
      <c r="C90" s="121" t="str">
        <f>'Input|Step changes'!C28</f>
        <v xml:space="preserve">Network support </v>
      </c>
      <c r="D90" s="110" t="s">
        <v>30</v>
      </c>
      <c r="E90" s="30" t="str">
        <f t="shared" si="8"/>
        <v>$millions</v>
      </c>
      <c r="F90" s="160">
        <f t="shared" ref="F90:F94" si="12">$F$8</f>
        <v>44713</v>
      </c>
      <c r="J90" s="127">
        <f>'Input|Step changes'!J28*INDEX('Input|Rate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K90" s="127">
        <f>'Input|Step changes'!K28*INDEX('Input|Rate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L90" s="127">
        <f>'Input|Step changes'!L28*INDEX('Input|Rate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M90" s="127">
        <f>'Input|Step changes'!M28*INDEX('Input|Rate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N90" s="127">
        <f>'Input|Step changes'!N28*INDEX('Input|Rate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O90" s="127">
        <f>'Input|Step changes'!O28*INDEX('Input|Rate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P90" s="127">
        <f>'Input|Step changes'!P28*INDEX('Input|Rate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Q90" s="127">
        <f>'Input|Step changes'!Q28*INDEX('Input|Rate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R90" s="127">
        <f>'Input|Step changes'!R28*INDEX('Input|Rate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S90" s="127">
        <f>'Input|Step changes'!S28*INDEX('Input|Rate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T90" s="127">
        <f>'Input|Step changes'!T28*INDEX('Input|Rate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</row>
    <row r="91" spans="1:48" outlineLevel="1">
      <c r="C91" s="121">
        <f>'Input|Step changes'!C29</f>
        <v>0</v>
      </c>
      <c r="D91" s="110" t="s">
        <v>30</v>
      </c>
      <c r="E91" s="30" t="str">
        <f t="shared" si="8"/>
        <v>$millions</v>
      </c>
      <c r="F91" s="160">
        <f t="shared" si="12"/>
        <v>44713</v>
      </c>
      <c r="J91" s="127">
        <f>'Input|Step changes'!J29*INDEX('Input|Rate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K91" s="127">
        <f>'Input|Step changes'!K29*INDEX('Input|Rate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L91" s="127">
        <f>'Input|Step changes'!L29*INDEX('Input|Rate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M91" s="127">
        <f>'Input|Step changes'!M29*INDEX('Input|Rate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N91" s="127">
        <f>'Input|Step changes'!N29*INDEX('Input|Rate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O91" s="127">
        <f>'Input|Step changes'!O29*INDEX('Input|Rate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P91" s="127">
        <f>'Input|Step changes'!P29*INDEX('Input|Rate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Q91" s="127">
        <f>'Input|Step changes'!Q29*INDEX('Input|Rate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R91" s="127">
        <f>'Input|Step changes'!R29*INDEX('Input|Rate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S91" s="127">
        <f>'Input|Step changes'!S29*INDEX('Input|Rate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T91" s="127">
        <f>'Input|Step changes'!T29*INDEX('Input|Rate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</row>
    <row r="92" spans="1:48" outlineLevel="1">
      <c r="C92" s="121">
        <f>'Input|Step changes'!C30</f>
        <v>0</v>
      </c>
      <c r="D92" s="110" t="s">
        <v>30</v>
      </c>
      <c r="E92" s="30" t="str">
        <f t="shared" si="8"/>
        <v>$millions</v>
      </c>
      <c r="F92" s="160">
        <f t="shared" si="12"/>
        <v>44713</v>
      </c>
      <c r="J92" s="127">
        <f>'Input|Step changes'!J30*INDEX('Input|Rate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K92" s="127">
        <f>'Input|Step changes'!K30*INDEX('Input|Rate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L92" s="127">
        <f>'Input|Step changes'!L30*INDEX('Input|Rate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M92" s="127">
        <f>'Input|Step changes'!M30*INDEX('Input|Rate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N92" s="127">
        <f>'Input|Step changes'!N30*INDEX('Input|Rate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O92" s="127">
        <f>'Input|Step changes'!O30*INDEX('Input|Rate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P92" s="127">
        <f>'Input|Step changes'!P30*INDEX('Input|Rate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Q92" s="127">
        <f>'Input|Step changes'!Q30*INDEX('Input|Rate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R92" s="127">
        <f>'Input|Step changes'!R30*INDEX('Input|Rate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S92" s="127">
        <f>'Input|Step changes'!S30*INDEX('Input|Rate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T92" s="127">
        <f>'Input|Step changes'!T30*INDEX('Input|Rate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</row>
    <row r="93" spans="1:48" outlineLevel="1">
      <c r="C93" s="121">
        <f>'Input|Step changes'!C31</f>
        <v>0</v>
      </c>
      <c r="D93" s="110" t="s">
        <v>30</v>
      </c>
      <c r="E93" s="30" t="str">
        <f t="shared" si="8"/>
        <v>$millions</v>
      </c>
      <c r="F93" s="160">
        <f t="shared" si="12"/>
        <v>44713</v>
      </c>
      <c r="J93" s="127">
        <f>'Input|Step changes'!J31*INDEX('Input|Rate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K93" s="127">
        <f>'Input|Step changes'!K31*INDEX('Input|Rate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L93" s="127">
        <f>'Input|Step changes'!L31*INDEX('Input|Rate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M93" s="127">
        <f>'Input|Step changes'!M31*INDEX('Input|Rate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N93" s="127">
        <f>'Input|Step changes'!N31*INDEX('Input|Rate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O93" s="127">
        <f>'Input|Step changes'!O31*INDEX('Input|Rate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P93" s="127">
        <f>'Input|Step changes'!P31*INDEX('Input|Rate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Q93" s="127">
        <f>'Input|Step changes'!Q31*INDEX('Input|Rate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R93" s="127">
        <f>'Input|Step changes'!R31*INDEX('Input|Rate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S93" s="127">
        <f>'Input|Step changes'!S31*INDEX('Input|Rate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T93" s="127">
        <f>'Input|Step changes'!T31*INDEX('Input|Rate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</row>
    <row r="94" spans="1:48" outlineLevel="1">
      <c r="C94" s="121">
        <f>'Input|Step changes'!C32</f>
        <v>0</v>
      </c>
      <c r="D94" s="110" t="s">
        <v>30</v>
      </c>
      <c r="E94" s="30" t="str">
        <f t="shared" si="8"/>
        <v>$millions</v>
      </c>
      <c r="F94" s="160">
        <f t="shared" si="12"/>
        <v>44713</v>
      </c>
      <c r="J94" s="127">
        <f>'Input|Step changes'!J32*INDEX('Input|Rate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K94" s="127">
        <f>'Input|Step changes'!K32*INDEX('Input|Rate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L94" s="127">
        <f>'Input|Step changes'!L32*INDEX('Input|Rate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M94" s="127">
        <f>'Input|Step changes'!M32*INDEX('Input|Rate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N94" s="127">
        <f>'Input|Step changes'!N32*INDEX('Input|Rate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O94" s="127">
        <f>'Input|Step changes'!O32*INDEX('Input|Rate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P94" s="127">
        <f>'Input|Step changes'!P32*INDEX('Input|Rate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Q94" s="127">
        <f>'Input|Step changes'!Q32*INDEX('Input|Rate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R94" s="127">
        <f>'Input|Step changes'!R32*INDEX('Input|Rate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S94" s="127">
        <f>'Input|Step changes'!S32*INDEX('Input|Rate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T94" s="127">
        <f>'Input|Step changes'!T32*INDEX('Input|Rate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48" outlineLevel="1">
      <c r="C95" s="121"/>
      <c r="D95" s="110"/>
      <c r="F95" s="112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121</v>
      </c>
      <c r="D96" s="122" t="s">
        <v>30</v>
      </c>
      <c r="E96" s="122" t="str">
        <f>$E$8</f>
        <v>$millions</v>
      </c>
      <c r="F96" s="173">
        <f t="shared" ref="F96" si="13">$F$8</f>
        <v>44713</v>
      </c>
      <c r="G96" s="32"/>
      <c r="H96" s="32"/>
      <c r="I96" s="32"/>
      <c r="J96" s="128">
        <f t="shared" ref="J96:T96" si="14">SUM(J89:J94)</f>
        <v>0</v>
      </c>
      <c r="K96" s="128">
        <f t="shared" si="14"/>
        <v>0</v>
      </c>
      <c r="L96" s="128">
        <f t="shared" si="14"/>
        <v>0</v>
      </c>
      <c r="M96" s="128">
        <f t="shared" si="14"/>
        <v>0</v>
      </c>
      <c r="N96" s="128">
        <f t="shared" si="14"/>
        <v>0</v>
      </c>
      <c r="O96" s="128">
        <f t="shared" si="14"/>
        <v>0</v>
      </c>
      <c r="P96" s="128">
        <f t="shared" si="14"/>
        <v>0</v>
      </c>
      <c r="Q96" s="128">
        <f t="shared" si="14"/>
        <v>0</v>
      </c>
      <c r="R96" s="128">
        <f t="shared" si="14"/>
        <v>0</v>
      </c>
      <c r="S96" s="128">
        <f t="shared" si="14"/>
        <v>0</v>
      </c>
      <c r="T96" s="128">
        <f t="shared" si="14"/>
        <v>0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2" t="str">
        <f>IF(YEAR(J$4)&gt;='Input|General'!$G$13,IF(YEAR(J$4)&lt;='Input|General'!$G$14,J$4,""),"")</f>
        <v/>
      </c>
      <c r="K100" s="162" t="str">
        <f>IF(YEAR(K$4)&gt;='Input|General'!$G$13,IF(YEAR(K$4)&lt;='Input|General'!$G$14,K$4,""),"")</f>
        <v/>
      </c>
      <c r="L100" s="162" t="str">
        <f>IF(YEAR(L$4)&gt;='Input|General'!$G$13,IF(YEAR(L$4)&lt;='Input|General'!$G$14,L$4,""),"")</f>
        <v/>
      </c>
      <c r="M100" s="162" t="str">
        <f>IF(YEAR(M$4)&gt;='Input|General'!$G$13,IF(YEAR(M$4)&lt;='Input|General'!$G$14,M$4,""),"")</f>
        <v/>
      </c>
      <c r="N100" s="162" t="str">
        <f>IF(YEAR(N$4)&gt;='Input|General'!$G$13,IF(YEAR(N$4)&lt;='Input|General'!$G$14,N$4,""),"")</f>
        <v/>
      </c>
      <c r="O100" s="162">
        <f>IF(YEAR(O$4)&gt;='Input|General'!$G$13,IF(YEAR(O$4)&lt;='Input|General'!$G$14,O$4,""),"")</f>
        <v>45078</v>
      </c>
      <c r="P100" s="162">
        <f>IF(YEAR(P$4)&gt;='Input|General'!$G$13,IF(YEAR(P$4)&lt;='Input|General'!$G$14,P$4,""),"")</f>
        <v>45444</v>
      </c>
      <c r="Q100" s="162">
        <f>IF(YEAR(Q$4)&gt;='Input|General'!$G$13,IF(YEAR(Q$4)&lt;='Input|General'!$G$14,Q$4,""),"")</f>
        <v>45809</v>
      </c>
      <c r="R100" s="162">
        <f>IF(YEAR(R$4)&gt;='Input|General'!$G$13,IF(YEAR(R$4)&lt;='Input|General'!$G$14,R$4,""),"")</f>
        <v>46174</v>
      </c>
      <c r="S100" s="162">
        <f>IF(YEAR(S$4)&gt;='Input|General'!$G$13,IF(YEAR(S$4)&lt;='Input|General'!$G$14,S$4,""),"")</f>
        <v>46539</v>
      </c>
      <c r="T100" s="162" t="str">
        <f>IF(YEAR(T$4)&gt;='Input|General'!$G$13,IF(YEAR(T$4)&lt;='Input|General'!$G$14,T$4,""),"")</f>
        <v/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138</v>
      </c>
      <c r="D102" s="126" t="s">
        <v>30</v>
      </c>
      <c r="E102" s="126" t="str">
        <f>$E$8</f>
        <v>$millions</v>
      </c>
      <c r="F102" s="173">
        <f t="shared" ref="F102:F104" si="15">$F$8</f>
        <v>44713</v>
      </c>
      <c r="J102" s="151" t="str">
        <f t="shared" ref="J102:T102" si="16">IF(YEAR(J$4)&gt;=FPFirstYear,IF(YEAR(J$4)&lt;=FPLastYear,IF(ISBLANK(J100),"",(1+J68)*SUM($J54:$S54)+J84),""),"")</f>
        <v/>
      </c>
      <c r="K102" s="151" t="str">
        <f t="shared" si="16"/>
        <v/>
      </c>
      <c r="L102" s="151" t="str">
        <f t="shared" si="16"/>
        <v/>
      </c>
      <c r="M102" s="151" t="str">
        <f t="shared" si="16"/>
        <v/>
      </c>
      <c r="N102" s="151" t="str">
        <f t="shared" si="16"/>
        <v/>
      </c>
      <c r="O102" s="151">
        <f t="shared" ca="1" si="16"/>
        <v>207.36586615001082</v>
      </c>
      <c r="P102" s="151">
        <f t="shared" ca="1" si="16"/>
        <v>210.63678712529415</v>
      </c>
      <c r="Q102" s="151">
        <f t="shared" ca="1" si="16"/>
        <v>210.53864694306787</v>
      </c>
      <c r="R102" s="151">
        <f t="shared" ca="1" si="16"/>
        <v>211.43820765587321</v>
      </c>
      <c r="S102" s="151">
        <f t="shared" ca="1" si="16"/>
        <v>212.1251315184528</v>
      </c>
      <c r="T102" s="151" t="str">
        <f t="shared" si="16"/>
        <v/>
      </c>
    </row>
    <row r="103" spans="1:48" outlineLevel="1">
      <c r="C103" s="123" t="s">
        <v>108</v>
      </c>
      <c r="D103" s="126" t="s">
        <v>30</v>
      </c>
      <c r="E103" s="126" t="str">
        <f>$E$8</f>
        <v>$millions</v>
      </c>
      <c r="F103" s="173">
        <f t="shared" si="15"/>
        <v>44713</v>
      </c>
      <c r="J103" s="151" t="str">
        <f t="shared" ref="J103:T103" si="17">IF(YEAR(J$4)&gt;=FPFirstYear,IF(YEAR(J$4)&lt;=FPLastYear,IF(ISBLANK(J100),"",(1+J68)*SUM($J54:$S54)+J84+J96),""),"")</f>
        <v/>
      </c>
      <c r="K103" s="151" t="str">
        <f t="shared" si="17"/>
        <v/>
      </c>
      <c r="L103" s="151" t="str">
        <f t="shared" si="17"/>
        <v/>
      </c>
      <c r="M103" s="151" t="str">
        <f t="shared" si="17"/>
        <v/>
      </c>
      <c r="N103" s="151" t="str">
        <f t="shared" si="17"/>
        <v/>
      </c>
      <c r="O103" s="151">
        <f t="shared" ca="1" si="17"/>
        <v>207.36586615001082</v>
      </c>
      <c r="P103" s="151">
        <f t="shared" ca="1" si="17"/>
        <v>210.63678712529415</v>
      </c>
      <c r="Q103" s="151">
        <f t="shared" ca="1" si="17"/>
        <v>210.53864694306787</v>
      </c>
      <c r="R103" s="151">
        <f t="shared" ca="1" si="17"/>
        <v>211.43820765587321</v>
      </c>
      <c r="S103" s="151">
        <f t="shared" ca="1" si="17"/>
        <v>212.1251315184528</v>
      </c>
      <c r="T103" s="151" t="str">
        <f t="shared" si="17"/>
        <v/>
      </c>
    </row>
    <row r="104" spans="1:48" outlineLevel="1">
      <c r="C104" s="123" t="s">
        <v>109</v>
      </c>
      <c r="D104" s="126" t="s">
        <v>30</v>
      </c>
      <c r="E104" s="126" t="str">
        <f>$E$8</f>
        <v>$millions</v>
      </c>
      <c r="F104" s="173">
        <f t="shared" si="15"/>
        <v>44713</v>
      </c>
      <c r="J104" s="151" t="str">
        <f>IF(YEAR(J$4)&gt;=FPFirstYear,IF(YEAR(J$4)&lt;=FPLastYear,J103+'Input|Step changes'!J40,""),"")</f>
        <v/>
      </c>
      <c r="K104" s="151" t="str">
        <f>IF(YEAR(K$4)&gt;=FPFirstYear,IF(YEAR(K$4)&lt;=FPLastYear,K103+'Input|Step changes'!K40,""),"")</f>
        <v/>
      </c>
      <c r="L104" s="151" t="str">
        <f>IF(YEAR(L$4)&gt;=FPFirstYear,IF(YEAR(L$4)&lt;=FPLastYear,L103+'Input|Step changes'!L40,""),"")</f>
        <v/>
      </c>
      <c r="M104" s="151" t="str">
        <f>IF(YEAR(M$4)&gt;=FPFirstYear,IF(YEAR(M$4)&lt;=FPLastYear,M103+'Input|Step changes'!M40,""),"")</f>
        <v/>
      </c>
      <c r="N104" s="151" t="str">
        <f>IF(YEAR(N$4)&gt;=FPFirstYear,IF(YEAR(N$4)&lt;=FPLastYear,N103+'Input|Step changes'!N40,""),"")</f>
        <v/>
      </c>
      <c r="O104" s="151">
        <f ca="1">IF(YEAR(O$4)&gt;=FPFirstYear,IF(YEAR(O$4)&lt;=FPLastYear,O103+'Input|Step changes'!O40,""),"")</f>
        <v>210.6678599673053</v>
      </c>
      <c r="P104" s="151">
        <f ca="1">IF(YEAR(P$4)&gt;=FPFirstYear,IF(YEAR(P$4)&lt;=FPLastYear,P103+'Input|Step changes'!P40,""),"")</f>
        <v>213.87845421240587</v>
      </c>
      <c r="Q104" s="151">
        <f ca="1">IF(YEAR(Q$4)&gt;=FPFirstYear,IF(YEAR(Q$4)&lt;=FPLastYear,Q103+'Input|Step changes'!Q40,""),"")</f>
        <v>213.7268333577334</v>
      </c>
      <c r="R104" s="151">
        <f ca="1">IF(YEAR(R$4)&gt;=FPFirstYear,IF(YEAR(R$4)&lt;=FPLastYear,R103+'Input|Step changes'!R40,""),"")</f>
        <v>214.54678290026231</v>
      </c>
      <c r="S104" s="151">
        <f ca="1">IF(YEAR(S$4)&gt;=FPFirstYear,IF(YEAR(S$4)&lt;=FPLastYear,S103+'Input|Step changes'!S40,""),"")</f>
        <v>215.1517938321096</v>
      </c>
      <c r="T104" s="151" t="str">
        <f>IF(YEAR(T$4)&gt;=FPFirstYear,IF(YEAR(T$4)&lt;=FPLastYear,T103+'Input|Step changes'!T40,""),"")</f>
        <v/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</sheetData>
  <mergeCells count="1">
    <mergeCell ref="N3:S3"/>
  </mergeCells>
  <conditionalFormatting sqref="S1:T1">
    <cfRule type="cellIs" dxfId="88" priority="107" operator="equal">
      <formula>"Check"</formula>
    </cfRule>
    <cfRule type="cellIs" dxfId="87" priority="108" operator="equal">
      <formula>"Ok"</formula>
    </cfRule>
  </conditionalFormatting>
  <conditionalFormatting sqref="W1">
    <cfRule type="cellIs" dxfId="86" priority="109" operator="equal">
      <formula>"Check"</formula>
    </cfRule>
    <cfRule type="cellIs" dxfId="85" priority="110" operator="equal">
      <formula>"Ok"</formula>
    </cfRule>
  </conditionalFormatting>
  <conditionalFormatting sqref="R39:T39 R42:T42 R45:T45 R48:T48 J12:T18">
    <cfRule type="cellIs" dxfId="84" priority="106" operator="equal">
      <formula>0</formula>
    </cfRule>
  </conditionalFormatting>
  <conditionalFormatting sqref="J13:T13">
    <cfRule type="cellIs" dxfId="83" priority="105" operator="equal">
      <formula>0</formula>
    </cfRule>
  </conditionalFormatting>
  <conditionalFormatting sqref="J14:T14">
    <cfRule type="cellIs" dxfId="82" priority="104" operator="equal">
      <formula>0</formula>
    </cfRule>
  </conditionalFormatting>
  <conditionalFormatting sqref="J15:T15">
    <cfRule type="cellIs" dxfId="81" priority="103" operator="equal">
      <formula>0</formula>
    </cfRule>
  </conditionalFormatting>
  <conditionalFormatting sqref="J16:T16">
    <cfRule type="cellIs" dxfId="80" priority="102" operator="equal">
      <formula>0</formula>
    </cfRule>
  </conditionalFormatting>
  <conditionalFormatting sqref="J17:T18">
    <cfRule type="cellIs" dxfId="79" priority="101" operator="equal">
      <formula>0</formula>
    </cfRule>
  </conditionalFormatting>
  <conditionalFormatting sqref="J61:T65">
    <cfRule type="cellIs" dxfId="78" priority="100" operator="equal">
      <formula>0</formula>
    </cfRule>
  </conditionalFormatting>
  <conditionalFormatting sqref="J74:T82 J90:T95">
    <cfRule type="cellIs" dxfId="77" priority="98" operator="equal">
      <formula>0</formula>
    </cfRule>
  </conditionalFormatting>
  <conditionalFormatting sqref="J36:T36 J33:T34 J51:T54">
    <cfRule type="cellIs" dxfId="76" priority="95" operator="equal">
      <formula>0</formula>
    </cfRule>
  </conditionalFormatting>
  <conditionalFormatting sqref="J103:T104">
    <cfRule type="cellIs" dxfId="75" priority="94" operator="equal">
      <formula>0</formula>
    </cfRule>
  </conditionalFormatting>
  <conditionalFormatting sqref="J103:T104">
    <cfRule type="cellIs" dxfId="74" priority="93" operator="equal">
      <formula>0</formula>
    </cfRule>
  </conditionalFormatting>
  <conditionalFormatting sqref="J46:T46">
    <cfRule type="cellIs" dxfId="73" priority="56" operator="equal">
      <formula>0</formula>
    </cfRule>
  </conditionalFormatting>
  <conditionalFormatting sqref="J39:Q39 J42:Q42 J45:Q45">
    <cfRule type="cellIs" dxfId="72" priority="74" operator="equal">
      <formula>0</formula>
    </cfRule>
  </conditionalFormatting>
  <conditionalFormatting sqref="J39:Q39 J42:Q42 J45:Q45">
    <cfRule type="cellIs" dxfId="71" priority="73" operator="equal">
      <formula>0</formula>
    </cfRule>
  </conditionalFormatting>
  <conditionalFormatting sqref="J37:T37">
    <cfRule type="cellIs" dxfId="70" priority="69" operator="equal">
      <formula>0</formula>
    </cfRule>
  </conditionalFormatting>
  <conditionalFormatting sqref="J37:T37">
    <cfRule type="cellIs" dxfId="69" priority="68" operator="equal">
      <formula>0</formula>
    </cfRule>
  </conditionalFormatting>
  <conditionalFormatting sqref="J48:Q48">
    <cfRule type="cellIs" dxfId="68" priority="59" operator="equal">
      <formula>0</formula>
    </cfRule>
  </conditionalFormatting>
  <conditionalFormatting sqref="J48:Q48">
    <cfRule type="cellIs" dxfId="67" priority="58" operator="equal">
      <formula>0</formula>
    </cfRule>
  </conditionalFormatting>
  <conditionalFormatting sqref="J40:T40">
    <cfRule type="cellIs" dxfId="66" priority="65" operator="equal">
      <formula>0</formula>
    </cfRule>
  </conditionalFormatting>
  <conditionalFormatting sqref="J40:T40">
    <cfRule type="cellIs" dxfId="65" priority="64" operator="equal">
      <formula>0</formula>
    </cfRule>
  </conditionalFormatting>
  <conditionalFormatting sqref="J46:T46">
    <cfRule type="cellIs" dxfId="64" priority="57" operator="equal">
      <formula>0</formula>
    </cfRule>
  </conditionalFormatting>
  <conditionalFormatting sqref="J43:T43">
    <cfRule type="cellIs" dxfId="63" priority="61" operator="equal">
      <formula>0</formula>
    </cfRule>
  </conditionalFormatting>
  <conditionalFormatting sqref="J43:T43">
    <cfRule type="cellIs" dxfId="62" priority="60" operator="equal">
      <formula>0</formula>
    </cfRule>
  </conditionalFormatting>
  <conditionalFormatting sqref="J49:T49">
    <cfRule type="cellIs" dxfId="61" priority="51" operator="equal">
      <formula>0</formula>
    </cfRule>
  </conditionalFormatting>
  <conditionalFormatting sqref="J49:T49">
    <cfRule type="cellIs" dxfId="60" priority="52" operator="equal">
      <formula>0</formula>
    </cfRule>
  </conditionalFormatting>
  <conditionalFormatting sqref="J38:T38">
    <cfRule type="cellIs" dxfId="59" priority="50" operator="equal">
      <formula>0</formula>
    </cfRule>
  </conditionalFormatting>
  <conditionalFormatting sqref="J38:T38">
    <cfRule type="cellIs" dxfId="58" priority="49" operator="equal">
      <formula>0</formula>
    </cfRule>
  </conditionalFormatting>
  <conditionalFormatting sqref="J102:T102">
    <cfRule type="cellIs" dxfId="57" priority="30" operator="equal">
      <formula>0</formula>
    </cfRule>
  </conditionalFormatting>
  <conditionalFormatting sqref="J102:T102">
    <cfRule type="cellIs" dxfId="56" priority="29" operator="equal">
      <formula>0</formula>
    </cfRule>
  </conditionalFormatting>
  <conditionalFormatting sqref="J10:T10">
    <cfRule type="expression" dxfId="55" priority="28">
      <formula>J$10=J$4</formula>
    </cfRule>
  </conditionalFormatting>
  <conditionalFormatting sqref="J25:T25">
    <cfRule type="expression" dxfId="54" priority="27">
      <formula>J$10=J$4</formula>
    </cfRule>
  </conditionalFormatting>
  <conditionalFormatting sqref="J54:T54">
    <cfRule type="expression" dxfId="53" priority="26">
      <formula>J$10=J$4</formula>
    </cfRule>
  </conditionalFormatting>
  <conditionalFormatting sqref="J26:T28 J30:T30">
    <cfRule type="cellIs" dxfId="52" priority="23" operator="equal">
      <formula>0</formula>
    </cfRule>
  </conditionalFormatting>
  <conditionalFormatting sqref="J31:T32">
    <cfRule type="cellIs" dxfId="51" priority="22" operator="equal">
      <formula>0</formula>
    </cfRule>
  </conditionalFormatting>
  <conditionalFormatting sqref="J68:T68">
    <cfRule type="cellIs" dxfId="50" priority="19" operator="equal">
      <formula>0</formula>
    </cfRule>
  </conditionalFormatting>
  <conditionalFormatting sqref="J35:T35">
    <cfRule type="cellIs" dxfId="49" priority="18" operator="equal">
      <formula>0</formula>
    </cfRule>
  </conditionalFormatting>
  <conditionalFormatting sqref="J35:T35">
    <cfRule type="cellIs" dxfId="48" priority="17" operator="equal">
      <formula>0</formula>
    </cfRule>
  </conditionalFormatting>
  <conditionalFormatting sqref="J29:T29">
    <cfRule type="cellIs" dxfId="47" priority="16" operator="equal">
      <formula>0</formula>
    </cfRule>
  </conditionalFormatting>
  <conditionalFormatting sqref="J29:T29">
    <cfRule type="cellIs" dxfId="46" priority="15" operator="equal">
      <formula>0</formula>
    </cfRule>
  </conditionalFormatting>
  <conditionalFormatting sqref="J19:T24">
    <cfRule type="cellIs" dxfId="45" priority="14" operator="equal">
      <formula>0</formula>
    </cfRule>
  </conditionalFormatting>
  <conditionalFormatting sqref="J20:T20">
    <cfRule type="cellIs" dxfId="44" priority="13" operator="equal">
      <formula>0</formula>
    </cfRule>
  </conditionalFormatting>
  <conditionalFormatting sqref="J21:T21">
    <cfRule type="cellIs" dxfId="43" priority="12" operator="equal">
      <formula>0</formula>
    </cfRule>
  </conditionalFormatting>
  <conditionalFormatting sqref="J22:T22">
    <cfRule type="cellIs" dxfId="42" priority="11" operator="equal">
      <formula>0</formula>
    </cfRule>
  </conditionalFormatting>
  <conditionalFormatting sqref="J23:T23">
    <cfRule type="cellIs" dxfId="41" priority="10" operator="equal">
      <formula>0</formula>
    </cfRule>
  </conditionalFormatting>
  <conditionalFormatting sqref="J24:T24">
    <cfRule type="cellIs" dxfId="40" priority="9" operator="equal">
      <formula>0</formula>
    </cfRule>
  </conditionalFormatting>
  <conditionalFormatting sqref="J67:T67">
    <cfRule type="expression" dxfId="39" priority="112">
      <formula>J$58=J$4</formula>
    </cfRule>
    <cfRule type="cellIs" dxfId="38" priority="113" operator="equal">
      <formula>0</formula>
    </cfRule>
  </conditionalFormatting>
  <conditionalFormatting sqref="J96:T96">
    <cfRule type="expression" dxfId="37" priority="114">
      <formula>J$88=J$4</formula>
    </cfRule>
    <cfRule type="cellIs" dxfId="36" priority="115" operator="equal">
      <formula>0</formula>
    </cfRule>
  </conditionalFormatting>
  <conditionalFormatting sqref="J84:T84">
    <cfRule type="expression" dxfId="35" priority="116">
      <formula>J$72=J$4</formula>
    </cfRule>
    <cfRule type="cellIs" dxfId="34" priority="117" operator="equal">
      <formula>0</formula>
    </cfRule>
  </conditionalFormatting>
  <conditionalFormatting sqref="J58:T58 J72:T72 J88:T88">
    <cfRule type="expression" dxfId="33" priority="118">
      <formula>J$58=J$4</formula>
    </cfRule>
  </conditionalFormatting>
  <conditionalFormatting sqref="J100:T100">
    <cfRule type="expression" dxfId="32" priority="121">
      <formula>J$100=J$4</formula>
    </cfRule>
  </conditionalFormatting>
  <conditionalFormatting sqref="J41:T41">
    <cfRule type="cellIs" dxfId="31" priority="8" operator="equal">
      <formula>0</formula>
    </cfRule>
  </conditionalFormatting>
  <conditionalFormatting sqref="J41:T41">
    <cfRule type="cellIs" dxfId="30" priority="7" operator="equal">
      <formula>0</formula>
    </cfRule>
  </conditionalFormatting>
  <conditionalFormatting sqref="J44:T44">
    <cfRule type="cellIs" dxfId="29" priority="6" operator="equal">
      <formula>0</formula>
    </cfRule>
  </conditionalFormatting>
  <conditionalFormatting sqref="J44:T44">
    <cfRule type="cellIs" dxfId="28" priority="5" operator="equal">
      <formula>0</formula>
    </cfRule>
  </conditionalFormatting>
  <conditionalFormatting sqref="J47:T47">
    <cfRule type="cellIs" dxfId="27" priority="4" operator="equal">
      <formula>0</formula>
    </cfRule>
  </conditionalFormatting>
  <conditionalFormatting sqref="J47:T47">
    <cfRule type="cellIs" dxfId="26" priority="3" operator="equal">
      <formula>0</formula>
    </cfRule>
  </conditionalFormatting>
  <conditionalFormatting sqref="J50:T50">
    <cfRule type="cellIs" dxfId="25" priority="2" operator="equal">
      <formula>0</formula>
    </cfRule>
  </conditionalFormatting>
  <conditionalFormatting sqref="J50:T50">
    <cfRule type="cellIs" dxfId="24" priority="1" operator="equal">
      <formula>0</formula>
    </cfRule>
  </conditionalFormatting>
  <dataValidations count="2">
    <dataValidation type="list" allowBlank="1" showInputMessage="1" showErrorMessage="1" sqref="F97 F85 F10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5"/>
  <sheetViews>
    <sheetView showGridLines="0" workbookViewId="0">
      <selection activeCell="C1" sqref="C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206</v>
      </c>
      <c r="T1" s="76"/>
      <c r="V1" s="186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1"/>
      <c r="E3" s="181"/>
      <c r="F3" s="181"/>
      <c r="G3" s="181"/>
      <c r="H3" s="181"/>
      <c r="I3" s="181"/>
      <c r="J3" s="171" t="s">
        <v>123</v>
      </c>
      <c r="K3" s="171"/>
      <c r="L3" s="171"/>
      <c r="M3" s="181"/>
      <c r="N3" s="224"/>
      <c r="O3" s="224"/>
      <c r="P3" s="224"/>
      <c r="Q3" s="224"/>
      <c r="R3" s="224"/>
      <c r="S3" s="224"/>
      <c r="T3" s="215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55</v>
      </c>
      <c r="C8" s="94"/>
      <c r="D8" s="94"/>
      <c r="E8" s="68" t="s">
        <v>15</v>
      </c>
      <c r="F8" s="205">
        <f>DATE(PPLastYear,MONTH('Input|General'!$G$9),1)</f>
        <v>44713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2" t="str">
        <f>IF(YEAR(J$4)&gt;='Input|General'!$G$13,IF(YEAR(J$4)&lt;='Input|General'!$G$14,J$4,""),"")</f>
        <v/>
      </c>
      <c r="K11" s="162" t="str">
        <f>IF(YEAR(K$4)&gt;='Input|General'!$G$13,IF(YEAR(K$4)&lt;='Input|General'!$G$14,K$4,""),"")</f>
        <v/>
      </c>
      <c r="L11" s="162" t="str">
        <f>IF(YEAR(L$4)&gt;='Input|General'!$G$13,IF(YEAR(L$4)&lt;='Input|General'!$G$14,L$4,""),"")</f>
        <v/>
      </c>
      <c r="M11" s="162" t="str">
        <f>IF(YEAR(M$4)&gt;='Input|General'!$G$13,IF(YEAR(M$4)&lt;='Input|General'!$G$14,M$4,""),"")</f>
        <v/>
      </c>
      <c r="N11" s="162" t="str">
        <f>IF(YEAR(N$4)&gt;='Input|General'!$G$13,IF(YEAR(N$4)&lt;='Input|General'!$G$14,N$4,""),"")</f>
        <v/>
      </c>
      <c r="O11" s="162">
        <f>IF(YEAR(O$4)&gt;='Input|General'!$G$13,IF(YEAR(O$4)&lt;='Input|General'!$G$14,O$4,""),"")</f>
        <v>45078</v>
      </c>
      <c r="P11" s="162">
        <f>IF(YEAR(P$4)&gt;='Input|General'!$G$13,IF(YEAR(P$4)&lt;='Input|General'!$G$14,P$4,""),"")</f>
        <v>45444</v>
      </c>
      <c r="Q11" s="162">
        <f>IF(YEAR(Q$4)&gt;='Input|General'!$G$13,IF(YEAR(Q$4)&lt;='Input|General'!$G$14,Q$4,""),"")</f>
        <v>45809</v>
      </c>
      <c r="R11" s="162">
        <f>IF(YEAR(R$4)&gt;='Input|General'!$G$13,IF(YEAR(R$4)&lt;='Input|General'!$G$14,R$4,""),"")</f>
        <v>46174</v>
      </c>
      <c r="S11" s="162">
        <f>IF(YEAR(S$4)&gt;='Input|General'!$G$13,IF(YEAR(S$4)&lt;='Input|General'!$G$14,S$4,""),"")</f>
        <v>46539</v>
      </c>
      <c r="T11" s="162" t="str">
        <f>IF(YEAR(T$4)&gt;='Input|General'!$G$13,IF(YEAR(T$4)&lt;='Input|General'!$G$14,T$4,""),"")</f>
        <v/>
      </c>
      <c r="V11" s="137" t="s">
        <v>54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60">
        <f>$F$8</f>
        <v>44713</v>
      </c>
      <c r="H13" s="32"/>
      <c r="I13" s="32"/>
      <c r="J13" s="179">
        <f>IF(J11="",0,'Calc|Opex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9">
        <f>IF(K11="",0,'Calc|Opex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9">
        <f>IF(L11="",0,'Calc|Opex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9">
        <f>IF(M11="",0,'Calc|Opex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9">
        <f>IF(N11="",0,'Calc|Opex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9">
        <f ca="1">IF(O11="",0,'Calc|Opex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207.36586615001082</v>
      </c>
      <c r="P13" s="179">
        <f ca="1">IF(P11="",0,'Calc|Opex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210.63678712529415</v>
      </c>
      <c r="Q13" s="179">
        <f ca="1">IF(Q11="",0,'Calc|Opex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210.53864694306787</v>
      </c>
      <c r="R13" s="179">
        <f ca="1">IF(R11="",0,'Calc|Opex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211.43820765587321</v>
      </c>
      <c r="S13" s="179">
        <f ca="1">IF(S11="",0,'Calc|Opex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212.1251315184528</v>
      </c>
      <c r="T13" s="179">
        <f>IF(T11="",0,'Calc|Opex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U13" s="111"/>
      <c r="V13" s="152"/>
    </row>
    <row r="14" spans="1:27">
      <c r="C14" s="111" t="str">
        <f>'Input|Step changes'!C28</f>
        <v xml:space="preserve">Network support </v>
      </c>
      <c r="D14" s="34" t="s">
        <v>104</v>
      </c>
      <c r="E14" s="30" t="str">
        <f t="shared" ref="E14:E18" si="0">$E$8</f>
        <v>$millions</v>
      </c>
      <c r="F14" s="160">
        <f t="shared" ref="F14:F18" si="1">$F$8</f>
        <v>44713</v>
      </c>
      <c r="H14" s="32"/>
      <c r="I14" s="32"/>
      <c r="J14" s="179">
        <f>IF(J$11="",0,'Calc|Opex forecast'!J90*INDEX('Input|Rate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K14" s="179">
        <f>IF(K$11="",0,'Calc|Opex forecast'!K90*INDEX('Input|Rate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L14" s="179">
        <f>IF(L$11="",0,'Calc|Opex forecast'!L90*INDEX('Input|Rate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M14" s="179">
        <f>IF(M$11="",0,'Calc|Opex forecast'!M90*INDEX('Input|Rate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N14" s="179">
        <f>IF(N$11="",0,'Calc|Opex forecast'!N90*INDEX('Input|Rate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O14" s="179">
        <f>IF(O$11="",0,'Calc|Opex forecast'!O90*INDEX('Input|Rate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P14" s="179">
        <f>IF(P$11="",0,'Calc|Opex forecast'!P90*INDEX('Input|Rate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Q14" s="179">
        <f>IF(Q$11="",0,'Calc|Opex forecast'!Q90*INDEX('Input|Rate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R14" s="179">
        <f>IF(R$11="",0,'Calc|Opex forecast'!R90*INDEX('Input|Rate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S14" s="179">
        <f>IF(S$11="",0,'Calc|Opex forecast'!S90*INDEX('Input|Rate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T14" s="179">
        <f>IF(T$11="",0,'Calc|Opex forecast'!T90*INDEX('Input|Rate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U14" s="111"/>
      <c r="V14" s="152"/>
    </row>
    <row r="15" spans="1:27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0">
        <f t="shared" si="1"/>
        <v>44713</v>
      </c>
      <c r="H15" s="32"/>
      <c r="I15" s="32"/>
      <c r="J15" s="179">
        <f>IF(J$11="",0,'Calc|Opex forecast'!J91*INDEX('Input|Rate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K15" s="179">
        <f>IF(K$11="",0,'Calc|Opex forecast'!K91*INDEX('Input|Rate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L15" s="179">
        <f>IF(L$11="",0,'Calc|Opex forecast'!L91*INDEX('Input|Rate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M15" s="179">
        <f>IF(M$11="",0,'Calc|Opex forecast'!M91*INDEX('Input|Rate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N15" s="179">
        <f>IF(N$11="",0,'Calc|Opex forecast'!N91*INDEX('Input|Rate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O15" s="179">
        <f>IF(O$11="",0,'Calc|Opex forecast'!O91*INDEX('Input|Rate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P15" s="179">
        <f>IF(P$11="",0,'Calc|Opex forecast'!P91*INDEX('Input|Rate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Q15" s="179">
        <f>IF(Q$11="",0,'Calc|Opex forecast'!Q91*INDEX('Input|Rate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R15" s="179">
        <f>IF(R$11="",0,'Calc|Opex forecast'!R91*INDEX('Input|Rate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S15" s="179">
        <f>IF(S$11="",0,'Calc|Opex forecast'!S91*INDEX('Input|Rate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T15" s="179">
        <f>IF(T$11="",0,'Calc|Opex forecast'!T91*INDEX('Input|Rate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U15" s="111"/>
      <c r="V15" s="152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0">
        <f t="shared" si="1"/>
        <v>44713</v>
      </c>
      <c r="H16" s="32"/>
      <c r="I16" s="32"/>
      <c r="J16" s="179">
        <f>IF(J$11="",0,'Calc|Opex forecast'!J92*INDEX('Input|Rate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K16" s="179">
        <f>IF(K$11="",0,'Calc|Opex forecast'!K92*INDEX('Input|Rate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L16" s="179">
        <f>IF(L$11="",0,'Calc|Opex forecast'!L92*INDEX('Input|Rate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M16" s="179">
        <f>IF(M$11="",0,'Calc|Opex forecast'!M92*INDEX('Input|Rate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N16" s="179">
        <f>IF(N$11="",0,'Calc|Opex forecast'!N92*INDEX('Input|Rate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O16" s="179">
        <f>IF(O$11="",0,'Calc|Opex forecast'!O92*INDEX('Input|Rate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P16" s="179">
        <f>IF(P$11="",0,'Calc|Opex forecast'!P92*INDEX('Input|Rate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Q16" s="179">
        <f>IF(Q$11="",0,'Calc|Opex forecast'!Q92*INDEX('Input|Rate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R16" s="179">
        <f>IF(R$11="",0,'Calc|Opex forecast'!R92*INDEX('Input|Rate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S16" s="179">
        <f>IF(S$11="",0,'Calc|Opex forecast'!S92*INDEX('Input|Rate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T16" s="179">
        <f>IF(T$11="",0,'Calc|Opex forecast'!T92*INDEX('Input|Rate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U16" s="111"/>
      <c r="V16" s="152"/>
    </row>
    <row r="17" spans="1:24">
      <c r="C17" s="111">
        <f>'Input|Step changes'!C31</f>
        <v>0</v>
      </c>
      <c r="D17" s="34" t="s">
        <v>104</v>
      </c>
      <c r="E17" s="30" t="str">
        <f t="shared" si="0"/>
        <v>$millions</v>
      </c>
      <c r="F17" s="160">
        <f t="shared" si="1"/>
        <v>44713</v>
      </c>
      <c r="H17" s="32"/>
      <c r="I17" s="32"/>
      <c r="J17" s="179">
        <f>IF(J$11="",0,'Calc|Opex forecast'!J93*INDEX('Input|Rate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K17" s="179">
        <f>IF(K$11="",0,'Calc|Opex forecast'!K93*INDEX('Input|Rate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L17" s="179">
        <f>IF(L$11="",0,'Calc|Opex forecast'!L93*INDEX('Input|Rate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M17" s="179">
        <f>IF(M$11="",0,'Calc|Opex forecast'!M93*INDEX('Input|Rate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N17" s="179">
        <f>IF(N$11="",0,'Calc|Opex forecast'!N93*INDEX('Input|Rate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O17" s="179">
        <f>IF(O$11="",0,'Calc|Opex forecast'!O93*INDEX('Input|Rate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P17" s="179">
        <f>IF(P$11="",0,'Calc|Opex forecast'!P93*INDEX('Input|Rate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Q17" s="179">
        <f>IF(Q$11="",0,'Calc|Opex forecast'!Q93*INDEX('Input|Rate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R17" s="179">
        <f>IF(R$11="",0,'Calc|Opex forecast'!R93*INDEX('Input|Rate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S17" s="179">
        <f>IF(S$11="",0,'Calc|Opex forecast'!S93*INDEX('Input|Rate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T17" s="179">
        <f>IF(T$11="",0,'Calc|Opex forecast'!T93*INDEX('Input|Rate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U17" s="111"/>
      <c r="V17" s="206"/>
    </row>
    <row r="18" spans="1:24">
      <c r="C18" s="111">
        <f>'Input|Step changes'!C32</f>
        <v>0</v>
      </c>
      <c r="D18" s="34" t="s">
        <v>104</v>
      </c>
      <c r="E18" s="30" t="str">
        <f t="shared" si="0"/>
        <v>$millions</v>
      </c>
      <c r="F18" s="160">
        <f t="shared" si="1"/>
        <v>44713</v>
      </c>
      <c r="H18" s="32"/>
      <c r="I18" s="32"/>
      <c r="J18" s="179">
        <f>IF(J$11="",0,'Calc|Opex forecast'!J94*INDEX('Input|Rate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K18" s="179">
        <f>IF(K$11="",0,'Calc|Opex forecast'!K94*INDEX('Input|Rate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L18" s="179">
        <f>IF(L$11="",0,'Calc|Opex forecast'!L94*INDEX('Input|Rate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M18" s="179">
        <f>IF(M$11="",0,'Calc|Opex forecast'!M94*INDEX('Input|Rate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N18" s="179">
        <f>IF(N$11="",0,'Calc|Opex forecast'!N94*INDEX('Input|Rate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O18" s="179">
        <f>IF(O$11="",0,'Calc|Opex forecast'!O94*INDEX('Input|Rate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P18" s="179">
        <f>IF(P$11="",0,'Calc|Opex forecast'!P94*INDEX('Input|Rate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Q18" s="179">
        <f>IF(Q$11="",0,'Calc|Opex forecast'!Q94*INDEX('Input|Rate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R18" s="179">
        <f>IF(R$11="",0,'Calc|Opex forecast'!R94*INDEX('Input|Rate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S18" s="179">
        <f>IF(S$11="",0,'Calc|Opex forecast'!S94*INDEX('Input|Rate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T18" s="179">
        <f>IF(T$11="",0,'Calc|Opex forecast'!T94*INDEX('Input|Rate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U18" s="111"/>
      <c r="V18" s="206"/>
    </row>
    <row r="19" spans="1:24">
      <c r="D19" s="34"/>
      <c r="H19" s="32"/>
      <c r="I19" s="32"/>
      <c r="N19" s="142"/>
      <c r="S19" s="23"/>
      <c r="T19" s="23"/>
    </row>
    <row r="20" spans="1:24" s="103" customFormat="1" ht="12.75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1" spans="1:24" hidden="1"/>
    <row r="22" spans="1:24" hidden="1"/>
    <row r="23" spans="1:24" hidden="1"/>
    <row r="24" spans="1:24" hidden="1"/>
    <row r="25" spans="1:24" hidden="1"/>
    <row r="26" spans="1:24" hidden="1">
      <c r="M26" s="146"/>
      <c r="N26" s="146"/>
      <c r="O26" s="146"/>
      <c r="P26" s="146"/>
      <c r="Q26" s="146"/>
      <c r="R26" s="146"/>
      <c r="S26" s="146"/>
      <c r="T26" s="146"/>
    </row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mergeCells count="1">
    <mergeCell ref="N3:S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8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8">
      <formula1>$G$22:$G$28</formula1>
    </dataValidation>
    <dataValidation type="list" allowBlank="1" showInputMessage="1" showErrorMessage="1" sqref="F19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7" location="'Calc|Opex forecast'!A1" display="Calc | Opex forecast"/>
    <hyperlink ref="V1" location="'Check|List'!A1" display="Overall Check:"/>
    <hyperlink ref="D16" location="'Calc|Opex forecast'!A1" display="Calc | Opex forecast"/>
    <hyperlink ref="D18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D1" sqref="D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124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125</v>
      </c>
      <c r="D25" s="16" t="s">
        <v>69</v>
      </c>
      <c r="E25" s="16"/>
      <c r="F25" s="16"/>
      <c r="G25" s="153">
        <v>36526</v>
      </c>
      <c r="H25" s="14"/>
    </row>
    <row r="26" spans="1:47">
      <c r="C26" s="15" t="s">
        <v>126</v>
      </c>
      <c r="D26" s="16" t="s">
        <v>69</v>
      </c>
      <c r="E26" s="16"/>
      <c r="F26" s="16"/>
      <c r="G26" s="153">
        <v>36557</v>
      </c>
      <c r="H26" s="14"/>
    </row>
    <row r="27" spans="1:47">
      <c r="C27" s="15" t="s">
        <v>127</v>
      </c>
      <c r="D27" s="16" t="s">
        <v>69</v>
      </c>
      <c r="E27" s="16"/>
      <c r="F27" s="16"/>
      <c r="G27" s="153">
        <v>36586</v>
      </c>
      <c r="H27" s="14"/>
    </row>
    <row r="28" spans="1:47">
      <c r="C28" s="15" t="s">
        <v>128</v>
      </c>
      <c r="D28" s="16" t="s">
        <v>69</v>
      </c>
      <c r="E28" s="16"/>
      <c r="F28" s="16"/>
      <c r="G28" s="153">
        <v>36617</v>
      </c>
    </row>
    <row r="29" spans="1:47">
      <c r="C29" s="15" t="s">
        <v>129</v>
      </c>
      <c r="D29" s="16" t="s">
        <v>69</v>
      </c>
      <c r="E29" s="16"/>
      <c r="F29" s="16"/>
      <c r="G29" s="153">
        <v>36647</v>
      </c>
    </row>
    <row r="30" spans="1:47">
      <c r="C30" s="15" t="s">
        <v>130</v>
      </c>
      <c r="D30" s="16" t="s">
        <v>69</v>
      </c>
      <c r="E30" s="16"/>
      <c r="F30" s="16"/>
      <c r="G30" s="153">
        <v>36678</v>
      </c>
      <c r="T30" s="17"/>
    </row>
    <row r="31" spans="1:47">
      <c r="C31" s="15" t="s">
        <v>131</v>
      </c>
      <c r="D31" s="16" t="s">
        <v>69</v>
      </c>
      <c r="E31" s="16"/>
      <c r="F31" s="16"/>
      <c r="G31" s="153">
        <v>36708</v>
      </c>
      <c r="T31" s="17"/>
    </row>
    <row r="32" spans="1:47">
      <c r="C32" s="15" t="s">
        <v>132</v>
      </c>
      <c r="D32" s="16" t="s">
        <v>69</v>
      </c>
      <c r="E32" s="16"/>
      <c r="F32" s="16"/>
      <c r="G32" s="153">
        <v>36739</v>
      </c>
      <c r="T32" s="17"/>
    </row>
    <row r="33" spans="1:47">
      <c r="C33" s="15" t="s">
        <v>133</v>
      </c>
      <c r="D33" s="16" t="s">
        <v>69</v>
      </c>
      <c r="E33" s="16"/>
      <c r="F33" s="16"/>
      <c r="G33" s="153">
        <v>36770</v>
      </c>
      <c r="T33" s="17"/>
    </row>
    <row r="34" spans="1:47">
      <c r="C34" s="15" t="s">
        <v>134</v>
      </c>
      <c r="D34" s="16" t="s">
        <v>69</v>
      </c>
      <c r="E34" s="16"/>
      <c r="F34" s="16"/>
      <c r="G34" s="153">
        <v>36800</v>
      </c>
      <c r="T34" s="17"/>
    </row>
    <row r="35" spans="1:47">
      <c r="C35" s="15" t="s">
        <v>135</v>
      </c>
      <c r="D35" s="16" t="s">
        <v>69</v>
      </c>
      <c r="E35" s="16"/>
      <c r="F35" s="16"/>
      <c r="G35" s="153">
        <v>36831</v>
      </c>
      <c r="T35" s="17"/>
    </row>
    <row r="36" spans="1:47">
      <c r="C36" s="15" t="s">
        <v>136</v>
      </c>
      <c r="D36" s="16" t="s">
        <v>69</v>
      </c>
      <c r="E36" s="16"/>
      <c r="F36" s="16"/>
      <c r="G36" s="153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160</v>
      </c>
      <c r="H40" s="14" t="s">
        <v>158</v>
      </c>
      <c r="I40" s="14" t="s">
        <v>159</v>
      </c>
    </row>
    <row r="41" spans="1:47">
      <c r="C41" s="159">
        <v>40695</v>
      </c>
      <c r="D41" s="16" t="s">
        <v>69</v>
      </c>
      <c r="E41" s="16"/>
      <c r="F41" s="16"/>
      <c r="G41" s="154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59">
        <v>41061</v>
      </c>
      <c r="D42" s="16" t="s">
        <v>69</v>
      </c>
      <c r="E42" s="16"/>
      <c r="F42" s="16"/>
      <c r="G42" s="154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59">
        <v>41426</v>
      </c>
      <c r="D43" s="16" t="s">
        <v>69</v>
      </c>
      <c r="E43" s="16"/>
      <c r="F43" s="16"/>
      <c r="G43" s="154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59">
        <v>41791</v>
      </c>
      <c r="D44" s="16" t="s">
        <v>69</v>
      </c>
      <c r="E44" s="16"/>
      <c r="F44" s="16"/>
      <c r="G44" s="154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59">
        <v>42156</v>
      </c>
      <c r="D45" s="16" t="s">
        <v>69</v>
      </c>
      <c r="E45" s="16"/>
      <c r="F45" s="16"/>
      <c r="G45" s="154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59">
        <v>42522</v>
      </c>
      <c r="D46" s="16" t="s">
        <v>69</v>
      </c>
      <c r="E46" s="16"/>
      <c r="F46" s="16"/>
      <c r="G46" s="154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59">
        <v>42887</v>
      </c>
      <c r="D47" s="16" t="s">
        <v>69</v>
      </c>
      <c r="E47" s="16"/>
      <c r="F47" s="16"/>
      <c r="G47" s="154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59">
        <v>43252</v>
      </c>
      <c r="D48" s="16" t="s">
        <v>69</v>
      </c>
      <c r="E48" s="16"/>
      <c r="F48" s="16"/>
      <c r="G48" s="154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59">
        <v>43617</v>
      </c>
      <c r="D49" s="16" t="s">
        <v>69</v>
      </c>
      <c r="E49" s="16"/>
      <c r="F49" s="16"/>
      <c r="G49" s="154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59">
        <v>43983</v>
      </c>
      <c r="D50" s="16" t="s">
        <v>69</v>
      </c>
      <c r="E50" s="16"/>
      <c r="F50" s="16"/>
      <c r="G50" s="154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59">
        <v>44348</v>
      </c>
      <c r="D51" s="16" t="s">
        <v>69</v>
      </c>
      <c r="E51" s="16"/>
      <c r="F51" s="16"/>
      <c r="G51" s="154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59">
        <v>44713</v>
      </c>
      <c r="D52" s="16" t="s">
        <v>69</v>
      </c>
      <c r="E52" s="16"/>
      <c r="F52" s="16"/>
      <c r="G52" s="154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59">
        <v>45078</v>
      </c>
      <c r="D53" s="16" t="s">
        <v>69</v>
      </c>
      <c r="E53" s="16"/>
      <c r="F53" s="16"/>
      <c r="G53" s="154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59">
        <v>45444</v>
      </c>
      <c r="D54" s="16" t="s">
        <v>69</v>
      </c>
      <c r="E54" s="16"/>
      <c r="F54" s="16"/>
      <c r="G54" s="154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59">
        <v>45809</v>
      </c>
      <c r="D55" s="16" t="s">
        <v>69</v>
      </c>
      <c r="E55" s="16"/>
      <c r="F55" s="16"/>
      <c r="G55" s="154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59">
        <v>46174</v>
      </c>
      <c r="D56" s="16" t="s">
        <v>69</v>
      </c>
      <c r="E56" s="16"/>
      <c r="F56" s="16"/>
      <c r="G56" s="154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59">
        <v>46539</v>
      </c>
      <c r="D57" s="16" t="s">
        <v>69</v>
      </c>
      <c r="E57" s="16"/>
      <c r="F57" s="16"/>
      <c r="G57" s="154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59">
        <v>46905</v>
      </c>
      <c r="D58" s="16" t="s">
        <v>69</v>
      </c>
      <c r="E58" s="16"/>
      <c r="F58" s="16"/>
      <c r="G58" s="154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59">
        <v>47270</v>
      </c>
      <c r="D59" s="16" t="s">
        <v>69</v>
      </c>
      <c r="E59" s="16"/>
      <c r="F59" s="16"/>
      <c r="G59" s="154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59">
        <v>47635</v>
      </c>
      <c r="D60" s="16" t="s">
        <v>69</v>
      </c>
      <c r="E60" s="16"/>
      <c r="F60" s="16"/>
      <c r="G60" s="154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156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157</v>
      </c>
      <c r="H64" s="14" t="s">
        <v>123</v>
      </c>
    </row>
    <row r="65" spans="1:47">
      <c r="C65" s="15" t="s">
        <v>188</v>
      </c>
      <c r="D65" s="16" t="s">
        <v>98</v>
      </c>
      <c r="E65" s="21"/>
      <c r="F65" s="14"/>
      <c r="G65" s="182" t="str">
        <f>IF(H65="","",IF(MONTH(H65)=12,YEAR(H65),YEAR(H65)-1&amp;"–"&amp;RIGHT(YEAR(H65),2)))</f>
        <v>2016–17</v>
      </c>
      <c r="H65" s="184">
        <f>DATE(PPFirstYear-1,MONTH('Input|General'!$G$9),1)</f>
        <v>42887</v>
      </c>
    </row>
    <row r="66" spans="1:47">
      <c r="C66" s="15" t="s">
        <v>144</v>
      </c>
      <c r="D66" s="16" t="s">
        <v>98</v>
      </c>
      <c r="E66" s="16"/>
      <c r="F66" s="16"/>
      <c r="G66" s="182" t="str">
        <f t="shared" ref="G66:G75" si="1">IF(H66="","",IF(MONTH(H66)=12,YEAR(H66),YEAR(H66)-1&amp;"–"&amp;RIGHT(YEAR(H66),2)))</f>
        <v>2017–18</v>
      </c>
      <c r="H66" s="184">
        <f>DATE(PPFirstYear,MONTH('Input|General'!$G$9),1)</f>
        <v>43252</v>
      </c>
    </row>
    <row r="67" spans="1:47">
      <c r="C67" s="15" t="s">
        <v>145</v>
      </c>
      <c r="D67" s="16" t="s">
        <v>98</v>
      </c>
      <c r="E67" s="16"/>
      <c r="F67" s="16"/>
      <c r="G67" s="182" t="str">
        <f t="shared" si="1"/>
        <v>2018–19</v>
      </c>
      <c r="H67" s="184">
        <f>IF(PPLastYear-PPFirstYear&lt;1,"",DATE(PPFirstYear+1,MONTH('Input|General'!$G$9),1))</f>
        <v>43617</v>
      </c>
    </row>
    <row r="68" spans="1:47">
      <c r="C68" s="15" t="s">
        <v>146</v>
      </c>
      <c r="D68" s="16" t="s">
        <v>98</v>
      </c>
      <c r="E68" s="16"/>
      <c r="F68" s="16"/>
      <c r="G68" s="182" t="str">
        <f t="shared" si="1"/>
        <v>2019–20</v>
      </c>
      <c r="H68" s="184">
        <f>IF(PPLastYear-PPFirstYear&lt;2,"",DATE(PPFirstYear+2,MONTH('Input|General'!$G$9),1))</f>
        <v>43983</v>
      </c>
    </row>
    <row r="69" spans="1:47">
      <c r="C69" s="15" t="s">
        <v>147</v>
      </c>
      <c r="D69" s="16" t="s">
        <v>98</v>
      </c>
      <c r="E69" s="16"/>
      <c r="F69" s="16"/>
      <c r="G69" s="182" t="str">
        <f t="shared" si="1"/>
        <v>2020–21</v>
      </c>
      <c r="H69" s="184">
        <f>IF(PPLastYear-PPFirstYear&lt;3,"",DATE(PPFirstYear+3,MONTH('Input|General'!$G$9),1))</f>
        <v>44348</v>
      </c>
    </row>
    <row r="70" spans="1:47">
      <c r="C70" s="15" t="s">
        <v>148</v>
      </c>
      <c r="D70" s="16" t="s">
        <v>98</v>
      </c>
      <c r="E70" s="16"/>
      <c r="F70" s="16"/>
      <c r="G70" s="182" t="str">
        <f t="shared" si="1"/>
        <v>2021–22</v>
      </c>
      <c r="H70" s="184">
        <f>IF(PPLastYear-PPFirstYear&lt;4,"",DATE(PPFirstYear+4,MONTH('Input|General'!$G$9),1))</f>
        <v>44713</v>
      </c>
    </row>
    <row r="71" spans="1:47">
      <c r="C71" s="15" t="s">
        <v>190</v>
      </c>
      <c r="D71" s="16" t="s">
        <v>98</v>
      </c>
      <c r="E71" s="16"/>
      <c r="F71" s="16"/>
      <c r="G71" s="182" t="str">
        <f t="shared" si="1"/>
        <v/>
      </c>
      <c r="H71" s="184" t="str">
        <f>IF(PPLastYear-PPFirstYear&lt;5,"",DATE(PPFirstYear+5,MONTH('Input|General'!$G$9),1))</f>
        <v/>
      </c>
    </row>
    <row r="72" spans="1:47">
      <c r="C72" s="15" t="s">
        <v>149</v>
      </c>
      <c r="D72" s="16" t="s">
        <v>98</v>
      </c>
      <c r="E72" s="16"/>
      <c r="F72" s="16"/>
      <c r="G72" s="182" t="str">
        <f t="shared" si="1"/>
        <v>2022–23</v>
      </c>
      <c r="H72" s="184">
        <f>DATE(FPFirstYear,MONTH('Input|General'!$G$9),1)</f>
        <v>45078</v>
      </c>
      <c r="T72" s="17"/>
    </row>
    <row r="73" spans="1:47">
      <c r="C73" s="15" t="s">
        <v>150</v>
      </c>
      <c r="D73" s="16" t="s">
        <v>98</v>
      </c>
      <c r="E73" s="16"/>
      <c r="F73" s="16"/>
      <c r="G73" s="182" t="str">
        <f t="shared" si="1"/>
        <v>2023–24</v>
      </c>
      <c r="H73" s="184">
        <f>IF(FPLastYear-FPFirstYear&lt;1,"",DATE(FPFirstYear+1,MONTH('Input|General'!$G$9),1))</f>
        <v>45444</v>
      </c>
      <c r="T73" s="17"/>
    </row>
    <row r="74" spans="1:47">
      <c r="C74" s="15" t="s">
        <v>151</v>
      </c>
      <c r="D74" s="16" t="s">
        <v>98</v>
      </c>
      <c r="E74" s="16"/>
      <c r="F74" s="16"/>
      <c r="G74" s="182" t="str">
        <f t="shared" si="1"/>
        <v>2024–25</v>
      </c>
      <c r="H74" s="184">
        <f>IF(FPLastYear-FPFirstYear&lt;2,"",DATE(FPFirstYear+2,MONTH('Input|General'!$G$9),1))</f>
        <v>45809</v>
      </c>
      <c r="T74" s="17"/>
    </row>
    <row r="75" spans="1:47">
      <c r="C75" s="15" t="s">
        <v>152</v>
      </c>
      <c r="D75" s="16" t="s">
        <v>98</v>
      </c>
      <c r="E75" s="16"/>
      <c r="F75" s="16"/>
      <c r="G75" s="182" t="str">
        <f t="shared" si="1"/>
        <v>2025–26</v>
      </c>
      <c r="H75" s="184">
        <f>IF(FPLastYear-FPFirstYear&lt;3,"",DATE(FPFirstYear+3,MONTH('Input|General'!$G$9),1))</f>
        <v>46174</v>
      </c>
      <c r="T75" s="17"/>
    </row>
    <row r="76" spans="1:47">
      <c r="C76" s="15" t="s">
        <v>153</v>
      </c>
      <c r="D76" s="16" t="s">
        <v>98</v>
      </c>
      <c r="E76" s="16"/>
      <c r="F76" s="16"/>
      <c r="G76" s="182" t="str">
        <f>IF(H76="","",IF(MONTH(H76)=12,YEAR(H76),YEAR(H76)-1&amp;"–"&amp;RIGHT(YEAR(H76),2)))</f>
        <v>2026–27</v>
      </c>
      <c r="H76" s="184">
        <f>IF(FPLastYear-FPFirstYear&lt;4,"",DATE(FPFirstYear+4,MONTH('Input|General'!$G$9),1))</f>
        <v>46539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157</v>
      </c>
      <c r="H80" s="211"/>
    </row>
    <row r="81" spans="1:47">
      <c r="C81" s="15" t="s">
        <v>181</v>
      </c>
      <c r="D81" s="16" t="s">
        <v>69</v>
      </c>
      <c r="E81" s="16"/>
      <c r="F81" s="16"/>
      <c r="G81" s="182" t="s">
        <v>107</v>
      </c>
      <c r="H81" s="210"/>
    </row>
    <row r="82" spans="1:47">
      <c r="C82" s="15" t="s">
        <v>182</v>
      </c>
      <c r="D82" s="16" t="s">
        <v>69</v>
      </c>
      <c r="E82" s="16"/>
      <c r="F82" s="16"/>
      <c r="G82" s="183" t="s">
        <v>183</v>
      </c>
      <c r="H82" s="210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G15" sqref="G1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6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/>
    <row r="25" spans="1:47"/>
    <row r="26" spans="1:47"/>
    <row r="27" spans="1:47"/>
    <row r="28" spans="1:47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4" location="'Input|Step changes'!A1" display="'Input|Step changes'!A1"/>
    <hyperlink ref="D15" location="'Calc|Opex forecast_final'!A1" display="'Calc|Opex forecast_final'!A1"/>
    <hyperlink ref="D16" location="'Output|Models_final'!A1" display="'Output|Models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Langeluddecke, Mark</cp:lastModifiedBy>
  <dcterms:created xsi:type="dcterms:W3CDTF">2021-08-31T02:12:44Z</dcterms:created>
  <dcterms:modified xsi:type="dcterms:W3CDTF">2021-09-22T22:23:49Z</dcterms:modified>
</cp:coreProperties>
</file>