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 activeTab="6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7" l="1"/>
  <c r="N33" i="7"/>
  <c r="H33" i="7"/>
  <c r="P24" i="4" l="1"/>
  <c r="P23" i="4"/>
  <c r="P22" i="4"/>
  <c r="P21" i="4"/>
  <c r="H21" i="4"/>
  <c r="H22" i="4"/>
  <c r="H23" i="4"/>
  <c r="H24" i="4"/>
  <c r="H25" i="4"/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L21" i="4" l="1"/>
  <c r="L22" i="4"/>
  <c r="Q14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N8" i="8" l="1"/>
  <c r="N7" i="8"/>
  <c r="N6" i="8"/>
  <c r="H25" i="8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L24" i="4" l="1"/>
  <c r="E18" i="7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D19" i="3"/>
  <c r="L23" i="4" l="1"/>
  <c r="E16" i="7"/>
  <c r="L26" i="4"/>
  <c r="B13" i="9"/>
  <c r="Q8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D23" i="3" l="1"/>
  <c r="I6" i="8" s="1"/>
  <c r="J6" i="8" l="1"/>
  <c r="O6" i="8"/>
  <c r="I44" i="8"/>
  <c r="I25" i="8"/>
  <c r="J25" i="8" l="1"/>
  <c r="I63" i="8"/>
  <c r="O7" i="8"/>
  <c r="J44" i="8"/>
  <c r="O8" i="8"/>
  <c r="P6" i="8"/>
  <c r="K6" i="8"/>
  <c r="P8" i="8" l="1"/>
  <c r="K44" i="8"/>
  <c r="F6" i="7"/>
  <c r="B35" i="7" s="1"/>
  <c r="Q6" i="8"/>
  <c r="O9" i="8"/>
  <c r="J63" i="8"/>
  <c r="P7" i="8"/>
  <c r="K25" i="8"/>
  <c r="Q7" i="8" l="1"/>
  <c r="L6" i="7"/>
  <c r="H35" i="7" s="1"/>
  <c r="E35" i="7"/>
  <c r="E36" i="7" s="1"/>
  <c r="B9" i="9" s="1"/>
  <c r="K63" i="8"/>
  <c r="P9" i="8"/>
  <c r="Q8" i="8"/>
  <c r="R6" i="7"/>
  <c r="N35" i="7" s="1"/>
  <c r="Q35" i="7" l="1"/>
  <c r="Q36" i="7" s="1"/>
  <c r="B11" i="9" s="1"/>
  <c r="E11" i="9" s="1"/>
  <c r="E9" i="9"/>
  <c r="K35" i="7"/>
  <c r="K36" i="7" s="1"/>
  <c r="B10" i="9" s="1"/>
  <c r="E10" i="9" s="1"/>
  <c r="Q9" i="8"/>
  <c r="Q10" i="8" s="1"/>
  <c r="X6" i="7"/>
  <c r="T35" i="7" s="1"/>
  <c r="W35" i="7" l="1"/>
  <c r="W36" i="7" s="1"/>
  <c r="B12" i="9" s="1"/>
  <c r="E12" i="9" s="1"/>
  <c r="G13" i="9" s="1"/>
  <c r="E15" i="9" l="1"/>
  <c r="E16" i="9" s="1"/>
  <c r="E17" i="9" s="1"/>
  <c r="G9" i="9"/>
  <c r="G10" i="9"/>
  <c r="G12" i="9"/>
  <c r="G11" i="9"/>
  <c r="B15" i="9"/>
  <c r="B16" i="9" s="1"/>
  <c r="B17" i="9" s="1"/>
</calcChain>
</file>

<file path=xl/sharedStrings.xml><?xml version="1.0" encoding="utf-8"?>
<sst xmlns="http://schemas.openxmlformats.org/spreadsheetml/2006/main" count="560" uniqueCount="182">
  <si>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</si>
  <si>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</si>
  <si>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</si>
  <si>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</si>
  <si>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</si>
  <si>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</si>
  <si>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</si>
  <si>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</si>
  <si>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</si>
  <si>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</si>
  <si>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</si>
  <si>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</si>
  <si>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</si>
  <si>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</si>
  <si>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</si>
  <si>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</si>
  <si>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</si>
  <si>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</si>
  <si>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</si>
  <si>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</si>
  <si>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</si>
  <si>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</si>
  <si>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</si>
  <si>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</si>
  <si>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E. OEFs</t>
  </si>
  <si>
    <t>– Displays the OEF margin used for analysis</t>
  </si>
  <si>
    <t>F. Inputs</t>
  </si>
  <si>
    <t>Inputs!A1</t>
  </si>
  <si>
    <t>– Takes various values for the opex value, OEF margin, efficiency target and productivity trend and feeds these through the models</t>
  </si>
  <si>
    <t>G. Summary</t>
  </si>
  <si>
    <t>Summary!A1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</si>
  <si>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</si>
  <si>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</si>
  <si>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</si>
  <si>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</si>
  <si>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</si>
  <si>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</si>
  <si>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</si>
  <si>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</si>
  <si>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</si>
  <si>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</si>
  <si>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</si>
  <si>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</si>
  <si>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</si>
  <si>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</si>
  <si>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</si>
  <si>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</si>
  <si>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</si>
  <si>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</si>
  <si>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</si>
  <si>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</si>
  <si>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</si>
  <si>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</si>
  <si>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</si>
  <si>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</si>
  <si>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</si>
  <si>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</si>
  <si>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</si>
  <si>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</si>
  <si>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</si>
  <si>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</si>
  <si>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</si>
  <si>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</si>
  <si>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</si>
  <si>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</si>
  <si>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</si>
  <si>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</si>
  <si>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</si>
  <si>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</si>
  <si>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</si>
  <si>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</si>
  <si>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</si>
  <si>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</si>
  <si>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</si>
  <si>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</si>
  <si>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</si>
  <si>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</si>
  <si>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</si>
  <si>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</si>
  <si>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</si>
  <si>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</si>
  <si>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</si>
  <si>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</si>
  <si>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</si>
  <si>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</si>
  <si>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</si>
  <si>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</si>
  <si>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</si>
  <si>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</si>
  <si>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</si>
  <si>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</si>
  <si>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</si>
  <si>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</si>
  <si>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</si>
  <si>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</si>
  <si>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</si>
  <si>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</si>
  <si>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</si>
  <si>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</si>
  <si>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</si>
  <si>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</si>
  <si>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</si>
  <si>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</si>
  <si>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</si>
  <si>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</si>
  <si>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</si>
  <si>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</si>
  <si>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Avr to 2018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</si>
  <si>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</si>
  <si>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</si>
  <si>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</si>
  <si>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</si>
  <si>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</si>
  <si>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</si>
  <si>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</si>
  <si>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</si>
  <si>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</si>
  <si>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</si>
  <si>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</si>
  <si>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</si>
  <si>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</si>
  <si>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 xml:space="preserve">Source: Economic Insights Results for the 2018 AER Annual Benchmarking Report (updated)
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</si>
  <si>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</si>
  <si>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</si>
  <si>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</si>
  <si>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</si>
  <si>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</si>
  <si>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</si>
  <si>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</si>
  <si>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</si>
  <si>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</si>
  <si>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Model</t>
  </si>
  <si>
    <t>Translog SFA</t>
  </si>
  <si>
    <t>Average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</si>
  <si>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</si>
  <si>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</si>
  <si>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</si>
  <si>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</si>
  <si>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</si>
  <si>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</si>
  <si>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</si>
  <si>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</si>
  <si>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</si>
  <si>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</si>
  <si>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</si>
  <si>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</si>
  <si>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</si>
  <si>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</si>
  <si>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</si>
  <si>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</si>
  <si>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</si>
  <si>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</si>
  <si>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</si>
  <si>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</si>
  <si>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</si>
  <si>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</si>
  <si>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</si>
  <si>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OEF assumption: 2018 Sapere/Merz OEFs and updated OEFs for vegetation management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</si>
  <si>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</si>
  <si>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</si>
  <si>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</si>
  <si>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</si>
  <si>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</si>
  <si>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</si>
  <si>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</si>
  <si>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</si>
  <si>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Difference ($)</t>
  </si>
  <si>
    <t>Difference (%)</t>
  </si>
  <si>
    <t>Ausnet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</si>
  <si>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</si>
  <si>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</si>
  <si>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</si>
  <si>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</si>
  <si>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</si>
  <si>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</si>
  <si>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</si>
  <si>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Network services opex (reflecting 2013 CAM) base year</t>
  </si>
  <si>
    <t>ABR Results</t>
  </si>
  <si>
    <t>Exclude</t>
  </si>
  <si>
    <t>2019 ABR (updated) results</t>
  </si>
  <si>
    <t>Average 2012-18 opex ($'000RY2018)</t>
  </si>
  <si>
    <t>Average 2012-18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</si>
</sst>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10" fontId="7" fillId="5" borderId="11" xfId="7" applyNumberFormat="1" applyFont="1" applyFill="1" applyBorder="1" applyAlignment="1">
      <alignment horizontal="right" vertical="center"/>
    </xf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0" fontId="26" fillId="0" borderId="0" xfId="6" applyFont="1" applyBorder="1"/>
    <xf numFmtId="164" fontId="27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  <xf numFmtId="164" fontId="23" fillId="3" borderId="0" xfId="16" applyFont="1" applyFill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216.19318133868535</c:v>
                </c:pt>
                <c:pt idx="1">
                  <c:v>219.20042968893861</c:v>
                </c:pt>
                <c:pt idx="2">
                  <c:v>193.81945562242606</c:v>
                </c:pt>
                <c:pt idx="3">
                  <c:v>199.13207867194419</c:v>
                </c:pt>
                <c:pt idx="4">
                  <c:v>199.85925361673318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Ausnet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207.08628633049855</c:v>
                </c:pt>
                <c:pt idx="1">
                  <c:v>207.08628633049855</c:v>
                </c:pt>
                <c:pt idx="2">
                  <c:v>207.08628633049855</c:v>
                </c:pt>
                <c:pt idx="3">
                  <c:v>207.08628633049855</c:v>
                </c:pt>
                <c:pt idx="4">
                  <c:v>207.08628633049855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E41" sqref="E41"/>
    </sheetView>
  </sheetViews>
  <sheetFormatPr defaultColWidth="9.140625" defaultRowHeight="15" zeroHeight="1" x14ac:dyDescent="0.25"/>
  <cols>
    <col min="1" max="1" width="20.5703125" style="5" customWidth="1"/>
    <col min="2" max="9" width="9.140625" style="5"/>
    <col min="10" max="16384" width="9.140625" style="6"/>
  </cols>
  <sheetData>
    <row r="1" spans="1:14" s="3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25">
      <c r="A2" s="4"/>
    </row>
    <row r="3" spans="1:14" x14ac:dyDescent="0.25"/>
    <row r="4" spans="1:14" x14ac:dyDescent="0.25">
      <c r="A4" s="7" t="s">
        <v>1</v>
      </c>
    </row>
    <row r="5" spans="1:14" x14ac:dyDescent="0.25">
      <c r="A5" s="5" t="str">
        <f>"– This spreadsheet contains the modelling for opex base year adjustments for "&amp;Inputs!C2</f>
        <v>– This spreadsheet contains the modelling for opex base year adjustments for Ausnet</v>
      </c>
    </row>
    <row r="6" spans="1:14" x14ac:dyDescent="0.25">
      <c r="A6" s="5" t="s">
        <v>2</v>
      </c>
    </row>
    <row r="7" spans="1:14" x14ac:dyDescent="0.25">
      <c r="A7" s="5" t="s">
        <v>3</v>
      </c>
    </row>
    <row r="8" spans="1:14" x14ac:dyDescent="0.25"/>
    <row r="9" spans="1:14" x14ac:dyDescent="0.25">
      <c r="A9" s="7" t="s">
        <v>4</v>
      </c>
    </row>
    <row r="10" spans="1:14" x14ac:dyDescent="0.25">
      <c r="A10" s="5" t="s">
        <v>5</v>
      </c>
      <c r="B10" s="8" t="s">
        <v>6</v>
      </c>
    </row>
    <row r="11" spans="1:14" x14ac:dyDescent="0.25">
      <c r="A11" s="5" t="s">
        <v>7</v>
      </c>
      <c r="B11" s="9" t="s">
        <v>8</v>
      </c>
    </row>
    <row r="12" spans="1:14" x14ac:dyDescent="0.25">
      <c r="A12" s="5" t="s">
        <v>9</v>
      </c>
      <c r="B12" s="10" t="s">
        <v>10</v>
      </c>
    </row>
    <row r="13" spans="1:14" x14ac:dyDescent="0.25"/>
    <row r="14" spans="1:14" x14ac:dyDescent="0.25">
      <c r="A14" s="11" t="s">
        <v>11</v>
      </c>
      <c r="N14" s="7" t="s">
        <v>12</v>
      </c>
    </row>
    <row r="15" spans="1:14" x14ac:dyDescent="0.25">
      <c r="A15" s="5" t="s">
        <v>13</v>
      </c>
      <c r="N15" s="12" t="s">
        <v>14</v>
      </c>
    </row>
    <row r="16" spans="1:14" x14ac:dyDescent="0.25">
      <c r="A16" s="76" t="str">
        <f>"– historical and forecast data on opex and cost driver for "&amp;Inputs!C2</f>
        <v>– historical and forecast data on opex and cost driver for Ausnet</v>
      </c>
    </row>
    <row r="17" spans="1:14" x14ac:dyDescent="0.25"/>
    <row r="18" spans="1:14" x14ac:dyDescent="0.25">
      <c r="A18" s="11" t="s">
        <v>15</v>
      </c>
    </row>
    <row r="19" spans="1:14" x14ac:dyDescent="0.25">
      <c r="A19" s="5" t="s">
        <v>16</v>
      </c>
      <c r="N19" s="12" t="s">
        <v>17</v>
      </c>
    </row>
    <row r="20" spans="1:14" x14ac:dyDescent="0.25">
      <c r="A20" s="5" t="s">
        <v>18</v>
      </c>
    </row>
    <row r="21" spans="1:14" x14ac:dyDescent="0.25"/>
    <row r="22" spans="1:14" x14ac:dyDescent="0.25">
      <c r="A22" s="11" t="s">
        <v>19</v>
      </c>
    </row>
    <row r="23" spans="1:14" x14ac:dyDescent="0.25">
      <c r="A23" s="5" t="s">
        <v>20</v>
      </c>
      <c r="N23" s="13" t="s">
        <v>21</v>
      </c>
    </row>
    <row r="24" spans="1:14" x14ac:dyDescent="0.25">
      <c r="A24" s="76" t="str">
        <f>"– Setting out efficiency target for "&amp;Inputs!C2</f>
        <v>– Setting out efficiency target for Ausnet</v>
      </c>
    </row>
    <row r="25" spans="1:14" x14ac:dyDescent="0.25"/>
    <row r="26" spans="1:14" x14ac:dyDescent="0.25">
      <c r="A26" s="5" t="s">
        <v>22</v>
      </c>
      <c r="N26" s="13" t="s">
        <v>23</v>
      </c>
    </row>
    <row r="27" spans="1:14" x14ac:dyDescent="0.25">
      <c r="A27" s="5" t="str">
        <f>"– Modelling efficient opex (base year) for "&amp;Inputs!C2&amp;", based on the efficiency target chosen"</f>
        <v>– Modelling efficient opex (base year) for Ausnet, based on the efficiency target chosen</v>
      </c>
    </row>
    <row r="28" spans="1:14" x14ac:dyDescent="0.25"/>
    <row r="29" spans="1:14" x14ac:dyDescent="0.25">
      <c r="A29" s="5" t="s">
        <v>24</v>
      </c>
    </row>
    <row r="30" spans="1:14" x14ac:dyDescent="0.25">
      <c r="A30" s="5" t="s">
        <v>25</v>
      </c>
    </row>
    <row r="31" spans="1:14" x14ac:dyDescent="0.25"/>
    <row r="32" spans="1:14" x14ac:dyDescent="0.25">
      <c r="A32" s="5" t="s">
        <v>26</v>
      </c>
      <c r="N32" s="13" t="s">
        <v>27</v>
      </c>
    </row>
    <row r="33" spans="1:14" x14ac:dyDescent="0.25">
      <c r="A33" s="5" t="s">
        <v>28</v>
      </c>
    </row>
    <row r="34" spans="1:14" x14ac:dyDescent="0.25"/>
    <row r="35" spans="1:14" x14ac:dyDescent="0.25">
      <c r="A35" s="5" t="s">
        <v>29</v>
      </c>
      <c r="N35" s="13" t="s">
        <v>30</v>
      </c>
    </row>
    <row r="36" spans="1:14" x14ac:dyDescent="0.2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Ausnet's proposed opex</v>
      </c>
    </row>
    <row r="37" spans="1:14" x14ac:dyDescent="0.25"/>
    <row r="38" spans="1:14" x14ac:dyDescent="0.25"/>
    <row r="39" spans="1:14" x14ac:dyDescent="0.25">
      <c r="A39" s="11"/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!A1"/>
    <hyperlink ref="N35" location="Summary!A1" display="Summary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Q7" sqref="Q7"/>
    </sheetView>
  </sheetViews>
  <sheetFormatPr defaultColWidth="8.7109375" defaultRowHeight="12.75" zeroHeight="1" x14ac:dyDescent="0.2"/>
  <cols>
    <col min="1" max="1" width="31" style="16" customWidth="1"/>
    <col min="2" max="2" width="10.85546875" style="16" customWidth="1"/>
    <col min="3" max="3" width="8.7109375" style="22"/>
    <col min="4" max="4" width="9.5703125" style="16" customWidth="1"/>
    <col min="5" max="5" width="9.42578125" style="16" customWidth="1"/>
    <col min="6" max="7" width="9.7109375" style="16" customWidth="1"/>
    <col min="8" max="8" width="11.5703125" style="16" customWidth="1"/>
    <col min="9" max="9" width="10" style="16" customWidth="1"/>
    <col min="10" max="17" width="11" style="16" customWidth="1"/>
    <col min="18" max="16384" width="8.7109375" style="16"/>
  </cols>
  <sheetData>
    <row r="1" spans="1:17" s="74" customFormat="1" ht="15" x14ac:dyDescent="0.25">
      <c r="A1" s="116" t="str">
        <f>"Opex Cost Drivers – "&amp;Inputs!C3</f>
        <v>Opex Cost Drivers – AND</v>
      </c>
      <c r="C1" s="76" t="s">
        <v>165</v>
      </c>
      <c r="D1" s="109" t="str">
        <f>CONCATENATE(D3,Inputs!$C$3)</f>
        <v>2006AND</v>
      </c>
      <c r="E1" s="109" t="str">
        <f>CONCATENATE(E3,Inputs!$C$3)</f>
        <v>2007AND</v>
      </c>
      <c r="F1" s="109" t="str">
        <f>CONCATENATE(F3,Inputs!$C$3)</f>
        <v>2008AND</v>
      </c>
      <c r="G1" s="109" t="str">
        <f>CONCATENATE(G3,Inputs!$C$3)</f>
        <v>2009AND</v>
      </c>
      <c r="H1" s="109" t="str">
        <f>CONCATENATE(H3,Inputs!$C$3)</f>
        <v>2010AND</v>
      </c>
      <c r="I1" s="109" t="str">
        <f>CONCATENATE(I3,Inputs!$C$3)</f>
        <v>2011AND</v>
      </c>
      <c r="J1" s="109" t="str">
        <f>CONCATENATE(J3,Inputs!$C$3)</f>
        <v>2012AND</v>
      </c>
      <c r="K1" s="109" t="str">
        <f>CONCATENATE(K3,Inputs!$C$3)</f>
        <v>2013AND</v>
      </c>
      <c r="L1" s="109" t="str">
        <f>CONCATENATE(L3,Inputs!$C$3)</f>
        <v>2014AND</v>
      </c>
      <c r="M1" s="109" t="str">
        <f>CONCATENATE(M3,Inputs!$C$3)</f>
        <v>2015AND</v>
      </c>
      <c r="N1" s="109" t="str">
        <f>CONCATENATE(N3,Inputs!$C$3)</f>
        <v>2016AND</v>
      </c>
      <c r="O1" s="109" t="str">
        <f>CONCATENATE(O3,Inputs!$C$3)</f>
        <v>2017AND</v>
      </c>
      <c r="P1" s="109" t="str">
        <f>CONCATENATE(P3,Inputs!$C$3)</f>
        <v>2018AND</v>
      </c>
      <c r="Q1" s="109" t="str">
        <f>CONCATENATE(Q3,Inputs!$C$3)</f>
        <v>2019AND</v>
      </c>
    </row>
    <row r="2" spans="1:17" s="113" customFormat="1" ht="15" x14ac:dyDescent="0.25"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74" customFormat="1" ht="15" x14ac:dyDescent="0.25">
      <c r="A3" s="97" t="s">
        <v>120</v>
      </c>
      <c r="B3" s="112" t="s">
        <v>119</v>
      </c>
      <c r="C3" s="111"/>
      <c r="D3" s="110">
        <v>2006</v>
      </c>
      <c r="E3" s="110">
        <v>2007</v>
      </c>
      <c r="F3" s="110">
        <v>2008</v>
      </c>
      <c r="G3" s="110">
        <v>2009</v>
      </c>
      <c r="H3" s="110">
        <v>2010</v>
      </c>
      <c r="I3" s="110">
        <v>2011</v>
      </c>
      <c r="J3" s="110">
        <v>2012</v>
      </c>
      <c r="K3" s="110">
        <v>2013</v>
      </c>
      <c r="L3" s="110">
        <v>2014</v>
      </c>
      <c r="M3" s="110">
        <v>2015</v>
      </c>
      <c r="N3" s="110">
        <v>2016</v>
      </c>
      <c r="O3" s="110">
        <v>2017</v>
      </c>
      <c r="P3" s="110">
        <v>2018</v>
      </c>
      <c r="Q3" s="110">
        <v>2019</v>
      </c>
    </row>
    <row r="4" spans="1:17" s="74" customFormat="1" ht="15" x14ac:dyDescent="0.25"/>
    <row r="5" spans="1:17" s="74" customFormat="1" ht="15" x14ac:dyDescent="0.25">
      <c r="A5" s="82" t="s">
        <v>161</v>
      </c>
      <c r="B5" s="92" t="s">
        <v>118</v>
      </c>
      <c r="C5" s="99"/>
      <c r="D5" s="192">
        <v>605407.99999997998</v>
      </c>
      <c r="E5" s="192">
        <v>616585.49999997998</v>
      </c>
      <c r="F5" s="192">
        <v>627552.49999997998</v>
      </c>
      <c r="G5" s="192">
        <v>638613.49999996996</v>
      </c>
      <c r="H5" s="192">
        <v>645694.49999998999</v>
      </c>
      <c r="I5" s="192">
        <v>654640.99999997998</v>
      </c>
      <c r="J5" s="192">
        <v>668702.99999996996</v>
      </c>
      <c r="K5" s="192">
        <v>681298.99999996996</v>
      </c>
      <c r="L5" s="192">
        <v>685193.99999998999</v>
      </c>
      <c r="M5" s="192">
        <v>706424</v>
      </c>
      <c r="N5" s="192">
        <v>712767</v>
      </c>
      <c r="O5" s="192">
        <v>734644</v>
      </c>
      <c r="P5" s="192">
        <v>741836</v>
      </c>
      <c r="Q5" s="192">
        <v>762382</v>
      </c>
    </row>
    <row r="6" spans="1:17" s="74" customFormat="1" ht="15" x14ac:dyDescent="0.25">
      <c r="A6" s="82" t="s">
        <v>164</v>
      </c>
      <c r="B6" s="92" t="s">
        <v>115</v>
      </c>
      <c r="C6" s="99"/>
      <c r="D6" s="192">
        <v>41507.07</v>
      </c>
      <c r="E6" s="192">
        <v>41835.892999999996</v>
      </c>
      <c r="F6" s="192">
        <v>42110.843000000001</v>
      </c>
      <c r="G6" s="192">
        <v>42711.531000000003</v>
      </c>
      <c r="H6" s="192">
        <v>42968.714999999997</v>
      </c>
      <c r="I6" s="192">
        <v>43213.931000000004</v>
      </c>
      <c r="J6" s="192">
        <v>43702.130999999994</v>
      </c>
      <c r="K6" s="192">
        <v>43821.926999999996</v>
      </c>
      <c r="L6" s="192">
        <v>44255.045791259996</v>
      </c>
      <c r="M6" s="192">
        <v>44349.203980980004</v>
      </c>
      <c r="N6" s="192">
        <v>44703.30605698</v>
      </c>
      <c r="O6" s="192">
        <v>44907.44428797</v>
      </c>
      <c r="P6" s="192">
        <v>45114.59</v>
      </c>
      <c r="Q6" s="192">
        <v>45494.429999999993</v>
      </c>
    </row>
    <row r="7" spans="1:17" s="74" customFormat="1" ht="15" x14ac:dyDescent="0.25">
      <c r="A7" s="82" t="s">
        <v>162</v>
      </c>
      <c r="B7" s="92" t="s">
        <v>116</v>
      </c>
      <c r="C7" s="99"/>
      <c r="D7" s="192">
        <v>1616.768</v>
      </c>
      <c r="E7" s="192">
        <v>1689.1969999999999</v>
      </c>
      <c r="F7" s="192">
        <v>1801.394</v>
      </c>
      <c r="G7" s="192">
        <v>1930.99232807</v>
      </c>
      <c r="H7" s="192">
        <v>1937.704264</v>
      </c>
      <c r="I7" s="192">
        <v>1838.472352</v>
      </c>
      <c r="J7" s="192">
        <v>1793.255484</v>
      </c>
      <c r="K7" s="192">
        <v>1881.4148680000001</v>
      </c>
      <c r="L7" s="192">
        <v>1942.955156</v>
      </c>
      <c r="M7" s="192">
        <v>1816.759</v>
      </c>
      <c r="N7" s="192">
        <v>1951.7954540000001</v>
      </c>
      <c r="O7" s="192">
        <v>1942.0717212</v>
      </c>
      <c r="P7" s="192">
        <v>1942.1035879999999</v>
      </c>
      <c r="Q7" s="192">
        <v>2026.9370560000002</v>
      </c>
    </row>
    <row r="8" spans="1:17" s="74" customFormat="1" ht="15" x14ac:dyDescent="0.25">
      <c r="A8" s="82" t="s">
        <v>117</v>
      </c>
      <c r="B8" s="92" t="s">
        <v>116</v>
      </c>
      <c r="C8" s="99"/>
      <c r="D8" s="109">
        <f>MAX(D7)</f>
        <v>1616.768</v>
      </c>
      <c r="E8" s="109">
        <f t="shared" ref="E8:Q8" si="0">MAX(D8,E7)</f>
        <v>1689.1969999999999</v>
      </c>
      <c r="F8" s="109">
        <f t="shared" si="0"/>
        <v>1801.394</v>
      </c>
      <c r="G8" s="109">
        <f t="shared" si="0"/>
        <v>1930.99232807</v>
      </c>
      <c r="H8" s="109">
        <f t="shared" si="0"/>
        <v>1937.704264</v>
      </c>
      <c r="I8" s="109">
        <f t="shared" si="0"/>
        <v>1937.704264</v>
      </c>
      <c r="J8" s="109">
        <f t="shared" si="0"/>
        <v>1937.704264</v>
      </c>
      <c r="K8" s="109">
        <f t="shared" si="0"/>
        <v>1937.704264</v>
      </c>
      <c r="L8" s="109">
        <f t="shared" si="0"/>
        <v>1942.955156</v>
      </c>
      <c r="M8" s="109">
        <f t="shared" si="0"/>
        <v>1942.955156</v>
      </c>
      <c r="N8" s="109">
        <f t="shared" si="0"/>
        <v>1951.7954540000001</v>
      </c>
      <c r="O8" s="109">
        <f t="shared" si="0"/>
        <v>1951.7954540000001</v>
      </c>
      <c r="P8" s="109">
        <f t="shared" si="0"/>
        <v>1951.7954540000001</v>
      </c>
      <c r="Q8" s="109">
        <f t="shared" si="0"/>
        <v>2026.9370560000002</v>
      </c>
    </row>
    <row r="9" spans="1:17" s="74" customFormat="1" ht="15" x14ac:dyDescent="0.25">
      <c r="A9" s="82" t="s">
        <v>160</v>
      </c>
      <c r="B9" s="92" t="s">
        <v>115</v>
      </c>
      <c r="C9" s="99"/>
      <c r="D9" s="192">
        <v>3864.759</v>
      </c>
      <c r="E9" s="192">
        <v>4111.4009999999998</v>
      </c>
      <c r="F9" s="192">
        <v>4290.7219999999998</v>
      </c>
      <c r="G9" s="192">
        <v>4612.5159999999996</v>
      </c>
      <c r="H9" s="192">
        <v>4792.9139999999998</v>
      </c>
      <c r="I9" s="192">
        <v>5069.076</v>
      </c>
      <c r="J9" s="192">
        <v>5322.3950000000004</v>
      </c>
      <c r="K9" s="192">
        <v>5502.2719999999999</v>
      </c>
      <c r="L9" s="192">
        <v>5728.1507942199996</v>
      </c>
      <c r="M9" s="192">
        <v>5965.9348250000003</v>
      </c>
      <c r="N9" s="192">
        <v>6267.0513379800004</v>
      </c>
      <c r="O9" s="192">
        <v>6574.8889099799999</v>
      </c>
      <c r="P9" s="192">
        <v>6908.59</v>
      </c>
      <c r="Q9" s="192">
        <v>7305.5300000000007</v>
      </c>
    </row>
    <row r="10" spans="1:17" s="74" customFormat="1" ht="15" x14ac:dyDescent="0.25">
      <c r="A10" s="82" t="s">
        <v>103</v>
      </c>
      <c r="B10" s="92" t="s">
        <v>114</v>
      </c>
      <c r="C10" s="99"/>
      <c r="D10" s="108">
        <f t="shared" ref="D10:Q10" si="1">D9/D6</f>
        <v>9.3110860390771988E-2</v>
      </c>
      <c r="E10" s="108">
        <f t="shared" si="1"/>
        <v>9.827448884621634E-2</v>
      </c>
      <c r="F10" s="108">
        <f t="shared" si="1"/>
        <v>0.10189114475813271</v>
      </c>
      <c r="G10" s="108">
        <f t="shared" si="1"/>
        <v>0.10799228901441157</v>
      </c>
      <c r="H10" s="108">
        <f t="shared" si="1"/>
        <v>0.11154427122151547</v>
      </c>
      <c r="I10" s="108">
        <f t="shared" si="1"/>
        <v>0.11730189507638172</v>
      </c>
      <c r="J10" s="108">
        <f t="shared" si="1"/>
        <v>0.12178799702009957</v>
      </c>
      <c r="K10" s="108">
        <f t="shared" si="1"/>
        <v>0.12555979110640206</v>
      </c>
      <c r="L10" s="108">
        <f t="shared" si="1"/>
        <v>0.12943497609827945</v>
      </c>
      <c r="M10" s="108">
        <f t="shared" si="1"/>
        <v>0.13452180173422287</v>
      </c>
      <c r="N10" s="108">
        <f t="shared" si="1"/>
        <v>0.14019212203213458</v>
      </c>
      <c r="O10" s="108">
        <f t="shared" si="1"/>
        <v>0.14640977713668976</v>
      </c>
      <c r="P10" s="108">
        <f t="shared" si="1"/>
        <v>0.15313427430017651</v>
      </c>
      <c r="Q10" s="108">
        <f t="shared" si="1"/>
        <v>0.16058075680913031</v>
      </c>
    </row>
    <row r="11" spans="1:17" s="74" customFormat="1" ht="15" x14ac:dyDescent="0.25">
      <c r="A11" s="82" t="s">
        <v>163</v>
      </c>
      <c r="B11" s="92" t="s">
        <v>113</v>
      </c>
      <c r="C11" s="99"/>
      <c r="D11" s="192">
        <v>81250.614026765543</v>
      </c>
      <c r="E11" s="192">
        <v>103209.38645113776</v>
      </c>
      <c r="F11" s="192">
        <v>116017.52463473017</v>
      </c>
      <c r="G11" s="192">
        <v>137883.29635850366</v>
      </c>
      <c r="H11" s="192">
        <v>137860.36087647689</v>
      </c>
      <c r="I11" s="192">
        <v>143839.81850797526</v>
      </c>
      <c r="J11" s="192">
        <v>157205.91921771257</v>
      </c>
      <c r="K11" s="192">
        <v>179574.56650939499</v>
      </c>
      <c r="L11" s="192">
        <v>189806.67514137062</v>
      </c>
      <c r="M11" s="192">
        <v>204651.59938180444</v>
      </c>
      <c r="N11" s="192">
        <v>229428.02527883899</v>
      </c>
      <c r="O11" s="192">
        <v>204947.924709871</v>
      </c>
      <c r="P11" s="192">
        <v>193557.933375539</v>
      </c>
      <c r="Q11" s="192">
        <v>204177.44023405801</v>
      </c>
    </row>
    <row r="12" spans="1:17" s="74" customFormat="1" ht="15" x14ac:dyDescent="0.25">
      <c r="A12" s="82"/>
      <c r="B12" s="92"/>
      <c r="C12" s="9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74" customFormat="1" ht="15" x14ac:dyDescent="0.25">
      <c r="A13" s="82" t="s">
        <v>172</v>
      </c>
      <c r="B13" s="206" t="s">
        <v>112</v>
      </c>
      <c r="C13" s="99"/>
      <c r="D13" s="197">
        <v>1.0258735339022715</v>
      </c>
      <c r="E13" s="197">
        <v>1.0651174696553203</v>
      </c>
      <c r="F13" s="197">
        <v>1.1123243137535808</v>
      </c>
      <c r="G13" s="197">
        <v>1.1403221575251214</v>
      </c>
      <c r="H13" s="197">
        <v>1.1790253017843368</v>
      </c>
      <c r="I13" s="197">
        <v>1.2211265568824128</v>
      </c>
      <c r="J13" s="197">
        <v>1.2586868727759766</v>
      </c>
      <c r="K13" s="197">
        <v>1.2974024984353709</v>
      </c>
      <c r="L13" s="197">
        <v>1.3308414140804419</v>
      </c>
      <c r="M13" s="197">
        <v>1.3548346335635142</v>
      </c>
      <c r="N13" s="197">
        <v>1.3789836216072324</v>
      </c>
      <c r="O13" s="197">
        <v>1.4063780537261743</v>
      </c>
      <c r="P13" s="197">
        <v>1.4425031298241389</v>
      </c>
      <c r="Q13" s="197">
        <v>1.4732030863632175</v>
      </c>
    </row>
    <row r="14" spans="1:17" s="74" customFormat="1" ht="15" x14ac:dyDescent="0.25">
      <c r="A14" s="82" t="s">
        <v>111</v>
      </c>
      <c r="B14" s="92" t="s">
        <v>44</v>
      </c>
      <c r="C14" s="99"/>
      <c r="D14" s="106"/>
      <c r="E14" s="105">
        <f t="shared" ref="E14:Q14" si="2">E13/D13-1</f>
        <v>3.8254165309997479E-2</v>
      </c>
      <c r="F14" s="105">
        <f t="shared" si="2"/>
        <v>4.4320786620406283E-2</v>
      </c>
      <c r="G14" s="105">
        <f t="shared" si="2"/>
        <v>2.5170576085908669E-2</v>
      </c>
      <c r="H14" s="105">
        <f t="shared" si="2"/>
        <v>3.3940535140713379E-2</v>
      </c>
      <c r="I14" s="105">
        <f t="shared" si="2"/>
        <v>3.5708525537458735E-2</v>
      </c>
      <c r="J14" s="105">
        <f t="shared" si="2"/>
        <v>3.0758741329364625E-2</v>
      </c>
      <c r="K14" s="104">
        <f t="shared" si="2"/>
        <v>3.0758742699849462E-2</v>
      </c>
      <c r="L14" s="104">
        <f t="shared" si="2"/>
        <v>2.5773740751537932E-2</v>
      </c>
      <c r="M14" s="104">
        <f t="shared" si="2"/>
        <v>1.8028608990689365E-2</v>
      </c>
      <c r="N14" s="104">
        <f t="shared" si="2"/>
        <v>1.7824306705388038E-2</v>
      </c>
      <c r="O14" s="104">
        <f t="shared" si="2"/>
        <v>1.9865668953350735E-2</v>
      </c>
      <c r="P14" s="104">
        <f t="shared" si="2"/>
        <v>2.5686603969858446E-2</v>
      </c>
      <c r="Q14" s="104">
        <f t="shared" si="2"/>
        <v>2.1282419361420279E-2</v>
      </c>
    </row>
    <row r="15" spans="1:17" s="74" customFormat="1" ht="15" x14ac:dyDescent="0.25">
      <c r="A15" s="82" t="s">
        <v>110</v>
      </c>
      <c r="B15" s="92" t="s">
        <v>109</v>
      </c>
      <c r="C15" s="99"/>
      <c r="D15" s="103">
        <f t="shared" ref="D15:P15" si="3">D11/D13*$P13</f>
        <v>114248.25883548691</v>
      </c>
      <c r="E15" s="103">
        <f t="shared" si="3"/>
        <v>139777.8810549168</v>
      </c>
      <c r="F15" s="103">
        <f t="shared" si="3"/>
        <v>150455.79812536816</v>
      </c>
      <c r="G15" s="103">
        <f t="shared" si="3"/>
        <v>174421.8379298037</v>
      </c>
      <c r="H15" s="103">
        <f t="shared" si="3"/>
        <v>168668.13777621431</v>
      </c>
      <c r="I15" s="103">
        <f t="shared" si="3"/>
        <v>169916.36716248273</v>
      </c>
      <c r="J15" s="103">
        <f t="shared" si="3"/>
        <v>180163.97517382551</v>
      </c>
      <c r="K15" s="103">
        <f t="shared" si="3"/>
        <v>199658.06643582549</v>
      </c>
      <c r="L15" s="103">
        <f t="shared" si="3"/>
        <v>205732.04294376672</v>
      </c>
      <c r="M15" s="103">
        <f t="shared" si="3"/>
        <v>217894.17344262873</v>
      </c>
      <c r="N15" s="103">
        <f t="shared" si="3"/>
        <v>239996.06619574453</v>
      </c>
      <c r="O15" s="103">
        <f t="shared" si="3"/>
        <v>210212.34088633783</v>
      </c>
      <c r="P15" s="103">
        <f t="shared" si="3"/>
        <v>193557.933375539</v>
      </c>
      <c r="Q15" s="103">
        <f t="shared" ref="Q15" si="4">Q11/Q13*$P13</f>
        <v>199922.60354557412</v>
      </c>
    </row>
    <row r="16" spans="1:17" s="74" customFormat="1" ht="15" x14ac:dyDescent="0.25">
      <c r="A16" s="82"/>
      <c r="B16" s="92"/>
      <c r="C16" s="99"/>
      <c r="D16" s="103"/>
      <c r="E16" s="103"/>
      <c r="F16" s="103"/>
      <c r="G16" s="103"/>
      <c r="H16" s="103"/>
      <c r="I16" s="103"/>
      <c r="J16" s="103"/>
      <c r="K16" s="103"/>
      <c r="L16" s="103"/>
      <c r="M16" s="88"/>
      <c r="N16" s="103"/>
      <c r="O16" s="103"/>
      <c r="P16" s="103"/>
      <c r="Q16" s="103"/>
    </row>
    <row r="17" spans="1:30" s="74" customFormat="1" ht="15" x14ac:dyDescent="0.25">
      <c r="A17" s="82"/>
      <c r="B17" s="92"/>
      <c r="C17" s="99"/>
      <c r="D17" s="102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0"/>
      <c r="P17" s="100"/>
      <c r="Q17" s="100"/>
    </row>
    <row r="18" spans="1:30" s="74" customFormat="1" ht="15" x14ac:dyDescent="0.25">
      <c r="A18" s="82"/>
      <c r="B18" s="92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30" s="74" customFormat="1" ht="15" x14ac:dyDescent="0.25">
      <c r="C19" s="76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30" s="74" customFormat="1" ht="15" x14ac:dyDescent="0.25">
      <c r="A20" s="97" t="s">
        <v>108</v>
      </c>
      <c r="C20" s="76"/>
      <c r="D20" s="88"/>
      <c r="E20" s="88"/>
      <c r="F20" s="88"/>
      <c r="G20" s="88"/>
      <c r="H20" s="95" t="str">
        <f>"Average "&amp;Inputs!C5&amp;"-"&amp;RIGHT(Inputs!C6,2)</f>
        <v>Average 2012-18</v>
      </c>
      <c r="I20" s="88"/>
      <c r="J20" s="95"/>
      <c r="K20" s="95"/>
      <c r="L20" s="95" t="s">
        <v>175</v>
      </c>
      <c r="M20" s="95"/>
      <c r="N20" s="95"/>
      <c r="O20" s="96"/>
      <c r="P20" s="96" t="s">
        <v>107</v>
      </c>
      <c r="Q20" s="95"/>
    </row>
    <row r="21" spans="1:30" s="74" customFormat="1" ht="15" x14ac:dyDescent="0.25">
      <c r="A21" s="82" t="s">
        <v>106</v>
      </c>
      <c r="C21" s="76"/>
      <c r="D21" s="88"/>
      <c r="E21" s="88"/>
      <c r="F21" s="88"/>
      <c r="G21" s="88"/>
      <c r="H21" s="91">
        <f>AVERAGE(J5:P5)</f>
        <v>704409.57142856147</v>
      </c>
      <c r="I21" s="88"/>
      <c r="J21" s="91"/>
      <c r="K21" s="91"/>
      <c r="L21" s="91">
        <f>P5</f>
        <v>741836</v>
      </c>
      <c r="M21" s="91"/>
      <c r="N21" s="87"/>
      <c r="O21" s="96"/>
      <c r="P21" s="87">
        <f>LN(P5/AVERAGE($J5:$P5))</f>
        <v>5.1768229890706188E-2</v>
      </c>
      <c r="Q21" s="87"/>
    </row>
    <row r="22" spans="1:30" s="74" customFormat="1" ht="15" x14ac:dyDescent="0.25">
      <c r="A22" s="82" t="s">
        <v>105</v>
      </c>
      <c r="C22" s="76"/>
      <c r="D22" s="88"/>
      <c r="E22" s="88"/>
      <c r="F22" s="88"/>
      <c r="G22" s="88"/>
      <c r="H22" s="91">
        <f>AVERAGE(J6:P6)</f>
        <v>44407.66401674143</v>
      </c>
      <c r="I22" s="88"/>
      <c r="J22" s="91"/>
      <c r="K22" s="91"/>
      <c r="L22" s="91">
        <f>P6</f>
        <v>45114.59</v>
      </c>
      <c r="M22" s="91"/>
      <c r="N22" s="87"/>
      <c r="O22" s="96"/>
      <c r="P22" s="87">
        <f>LN(P6/AVERAGE($J6:$P6))</f>
        <v>1.5793629986713641E-2</v>
      </c>
      <c r="Q22" s="87"/>
    </row>
    <row r="23" spans="1:30" s="74" customFormat="1" ht="15" x14ac:dyDescent="0.25">
      <c r="A23" s="82" t="s">
        <v>104</v>
      </c>
      <c r="C23" s="76"/>
      <c r="D23" s="88"/>
      <c r="E23" s="88"/>
      <c r="F23" s="88"/>
      <c r="G23" s="88"/>
      <c r="H23" s="91">
        <f>AVERAGE(J8:P8)</f>
        <v>1945.2436002857139</v>
      </c>
      <c r="I23" s="88"/>
      <c r="J23" s="91"/>
      <c r="K23" s="91"/>
      <c r="L23" s="91">
        <f>P8</f>
        <v>1951.7954540000001</v>
      </c>
      <c r="M23" s="91"/>
      <c r="N23" s="87"/>
      <c r="O23" s="96"/>
      <c r="P23" s="87">
        <f>LN(P8/AVERAGE($J8:$P8))</f>
        <v>3.3624809996040277E-3</v>
      </c>
      <c r="Q23" s="87"/>
    </row>
    <row r="24" spans="1:30" s="74" customFormat="1" ht="15" x14ac:dyDescent="0.25">
      <c r="A24" s="82" t="s">
        <v>103</v>
      </c>
      <c r="C24" s="76"/>
      <c r="D24" s="88"/>
      <c r="E24" s="88"/>
      <c r="F24" s="88"/>
      <c r="G24" s="88"/>
      <c r="H24" s="94">
        <f>AVERAGE(J10:P10)</f>
        <v>0.13586296277542928</v>
      </c>
      <c r="I24" s="88"/>
      <c r="J24" s="93"/>
      <c r="K24" s="93"/>
      <c r="L24" s="93">
        <f>P10</f>
        <v>0.15313427430017651</v>
      </c>
      <c r="M24" s="93"/>
      <c r="N24" s="87"/>
      <c r="O24" s="96"/>
      <c r="P24" s="87">
        <f>LN(P10/AVERAGE($J10:$P10))</f>
        <v>0.11966839523540251</v>
      </c>
      <c r="Q24" s="87"/>
    </row>
    <row r="25" spans="1:30" s="74" customFormat="1" ht="15" x14ac:dyDescent="0.25">
      <c r="A25" s="82" t="s">
        <v>102</v>
      </c>
      <c r="B25" s="92"/>
      <c r="C25" s="76"/>
      <c r="D25" s="88"/>
      <c r="E25" s="88"/>
      <c r="F25" s="88"/>
      <c r="G25" s="88"/>
      <c r="H25" s="91">
        <f>AVERAGE(J15:P15)</f>
        <v>206744.94263623827</v>
      </c>
      <c r="I25" s="88"/>
      <c r="J25" s="90"/>
      <c r="K25" s="90"/>
      <c r="L25" s="90">
        <f>P15</f>
        <v>193557.933375539</v>
      </c>
      <c r="M25" s="90"/>
      <c r="N25" s="89"/>
      <c r="O25" s="89"/>
      <c r="P25" s="89"/>
      <c r="Q25" s="89"/>
    </row>
    <row r="26" spans="1:30" s="74" customFormat="1" ht="15" x14ac:dyDescent="0.25">
      <c r="A26" s="85" t="s">
        <v>101</v>
      </c>
      <c r="C26" s="76"/>
      <c r="D26" s="88"/>
      <c r="E26" s="88"/>
      <c r="F26" s="88"/>
      <c r="G26" s="88"/>
      <c r="H26" s="88"/>
      <c r="I26" s="88"/>
      <c r="J26" s="87"/>
      <c r="K26" s="87"/>
      <c r="L26" s="87">
        <f>L25/$H25-1</f>
        <v>-6.3783950855336946E-2</v>
      </c>
      <c r="M26" s="87"/>
      <c r="N26" s="88"/>
      <c r="O26" s="88"/>
      <c r="P26" s="88"/>
      <c r="Q26" s="88"/>
    </row>
    <row r="27" spans="1:30" s="74" customFormat="1" ht="15" x14ac:dyDescent="0.25">
      <c r="A27" s="85" t="s">
        <v>100</v>
      </c>
      <c r="C27" s="76"/>
      <c r="D27" s="88"/>
      <c r="E27" s="88"/>
      <c r="F27" s="88"/>
      <c r="G27" s="88"/>
      <c r="H27" s="88"/>
      <c r="I27" s="88"/>
      <c r="J27" s="87"/>
      <c r="K27" s="87"/>
      <c r="L27" s="87">
        <f>'Opex Forecasts'!E32</f>
        <v>5.9390951069496767E-2</v>
      </c>
      <c r="M27" s="87"/>
      <c r="N27" s="86"/>
      <c r="O27" s="86"/>
      <c r="P27" s="86"/>
      <c r="Q27" s="86"/>
    </row>
    <row r="28" spans="1:30" s="74" customFormat="1" ht="15" x14ac:dyDescent="0.25">
      <c r="A28" s="85" t="s">
        <v>99</v>
      </c>
      <c r="C28" s="76"/>
      <c r="D28" s="88"/>
      <c r="E28" s="88"/>
      <c r="F28" s="88"/>
      <c r="G28" s="88"/>
      <c r="H28" s="88"/>
      <c r="I28" s="88"/>
      <c r="J28" s="87"/>
      <c r="K28" s="87"/>
      <c r="L28" s="87">
        <f>L26-L27</f>
        <v>-0.12317490192483371</v>
      </c>
      <c r="M28" s="87"/>
      <c r="N28" s="86"/>
      <c r="O28" s="86"/>
      <c r="P28" s="86"/>
      <c r="Q28" s="86"/>
    </row>
    <row r="29" spans="1:30" s="74" customFormat="1" ht="11.25" hidden="1" customHeight="1" x14ac:dyDescent="0.25">
      <c r="A29" s="85"/>
      <c r="C29" s="76"/>
      <c r="D29" s="78"/>
      <c r="E29" s="78"/>
      <c r="F29" s="77"/>
      <c r="G29" s="77"/>
      <c r="H29" s="77"/>
      <c r="I29" s="77"/>
      <c r="J29" s="84"/>
      <c r="K29" s="77"/>
      <c r="L29" s="77"/>
      <c r="M29" s="77"/>
      <c r="N29" s="77"/>
      <c r="O29" s="77"/>
      <c r="P29" s="77"/>
      <c r="Q29" s="77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4" customFormat="1" ht="15" hidden="1" x14ac:dyDescent="0.25">
      <c r="A30" s="83"/>
      <c r="C30" s="76"/>
      <c r="D30" s="78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s="74" customFormat="1" ht="15" hidden="1" x14ac:dyDescent="0.25">
      <c r="A31" s="82"/>
      <c r="C31" s="7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30" s="74" customFormat="1" ht="15" hidden="1" x14ac:dyDescent="0.25">
      <c r="A32" s="82"/>
      <c r="C32" s="7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74" customFormat="1" ht="15" hidden="1" x14ac:dyDescent="0.25">
      <c r="A33" s="77"/>
      <c r="C33" s="76"/>
      <c r="J33" s="78"/>
      <c r="K33" s="78"/>
      <c r="L33" s="78"/>
      <c r="M33" s="78"/>
      <c r="N33" s="78"/>
      <c r="O33" s="78"/>
      <c r="P33" s="78"/>
      <c r="Q33" s="78"/>
    </row>
    <row r="34" spans="1:17" s="74" customFormat="1" ht="15" hidden="1" x14ac:dyDescent="0.25">
      <c r="A34" s="77"/>
      <c r="B34" s="80"/>
      <c r="C34" s="81"/>
      <c r="D34" s="80"/>
      <c r="E34" s="80"/>
      <c r="F34" s="80"/>
      <c r="G34" s="80"/>
      <c r="H34" s="80"/>
      <c r="I34" s="80"/>
      <c r="J34" s="79"/>
      <c r="K34" s="78"/>
      <c r="L34" s="78"/>
      <c r="M34" s="78"/>
      <c r="N34" s="78"/>
      <c r="O34" s="78"/>
      <c r="P34" s="78"/>
      <c r="Q34" s="78"/>
    </row>
    <row r="35" spans="1:17" s="74" customFormat="1" ht="15" hidden="1" x14ac:dyDescent="0.25">
      <c r="A35" s="77"/>
      <c r="B35" s="80"/>
      <c r="C35" s="81"/>
      <c r="D35" s="80"/>
      <c r="E35" s="80"/>
      <c r="F35" s="80"/>
      <c r="G35" s="80"/>
      <c r="H35" s="80"/>
      <c r="I35" s="80"/>
      <c r="J35" s="79"/>
      <c r="K35" s="78"/>
      <c r="L35" s="78"/>
      <c r="M35" s="78"/>
      <c r="N35" s="78"/>
      <c r="O35" s="78"/>
      <c r="P35" s="78"/>
      <c r="Q35" s="78"/>
    </row>
    <row r="36" spans="1:17" s="74" customFormat="1" ht="15" hidden="1" x14ac:dyDescent="0.25">
      <c r="A36" s="77"/>
      <c r="C36" s="76"/>
    </row>
    <row r="37" spans="1:17" s="74" customFormat="1" ht="15" hidden="1" x14ac:dyDescent="0.25">
      <c r="C37" s="76"/>
      <c r="I37" s="75"/>
    </row>
    <row r="38" spans="1:17" hidden="1" x14ac:dyDescent="0.2">
      <c r="I38" s="73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4" workbookViewId="0">
      <selection activeCell="J22" sqref="J22"/>
    </sheetView>
  </sheetViews>
  <sheetFormatPr defaultColWidth="9.140625" defaultRowHeight="15" zeroHeight="1" x14ac:dyDescent="0.25"/>
  <cols>
    <col min="1" max="1" width="11.42578125" style="118" customWidth="1"/>
    <col min="2" max="2" width="10.28515625" style="118" customWidth="1"/>
    <col min="3" max="3" width="11.140625" style="118" customWidth="1"/>
    <col min="4" max="6" width="9.140625" style="118"/>
    <col min="7" max="7" width="12.85546875" style="119" customWidth="1"/>
    <col min="8" max="8" width="9.140625" style="118"/>
    <col min="9" max="9" width="11.140625" style="118" customWidth="1"/>
    <col min="10" max="11" width="9.140625" style="118"/>
    <col min="12" max="12" width="11.140625" style="118" customWidth="1"/>
    <col min="13" max="16" width="9.140625" style="118"/>
    <col min="17" max="19" width="9.140625" style="117"/>
    <col min="20" max="20" width="13" style="117" customWidth="1"/>
    <col min="21" max="16384" width="9.140625" style="117"/>
  </cols>
  <sheetData>
    <row r="1" spans="1:27" x14ac:dyDescent="0.25">
      <c r="A1" s="123" t="s">
        <v>122</v>
      </c>
      <c r="P1" s="117"/>
    </row>
    <row r="2" spans="1:27" x14ac:dyDescent="0.25">
      <c r="A2" s="130" t="s">
        <v>121</v>
      </c>
      <c r="P2" s="117"/>
    </row>
    <row r="3" spans="1:27" x14ac:dyDescent="0.25">
      <c r="A3" s="123"/>
      <c r="P3" s="117"/>
    </row>
    <row r="4" spans="1:27" x14ac:dyDescent="0.25">
      <c r="A4" s="123" t="s">
        <v>48</v>
      </c>
      <c r="H4" s="129" t="s">
        <v>49</v>
      </c>
      <c r="O4" s="129" t="s">
        <v>50</v>
      </c>
      <c r="Q4" s="118"/>
      <c r="R4" s="118"/>
      <c r="S4" s="118"/>
      <c r="T4" s="118"/>
      <c r="V4" s="123" t="s">
        <v>51</v>
      </c>
      <c r="W4" s="118"/>
      <c r="X4" s="118"/>
      <c r="Y4" s="118"/>
      <c r="Z4" s="118"/>
      <c r="AA4" s="118"/>
    </row>
    <row r="5" spans="1:27" x14ac:dyDescent="0.25">
      <c r="G5" s="118"/>
      <c r="N5" s="117"/>
      <c r="Q5" s="118"/>
      <c r="R5" s="118"/>
      <c r="S5" s="118"/>
      <c r="T5" s="118"/>
      <c r="V5" s="118"/>
      <c r="W5" s="118"/>
      <c r="X5" s="118"/>
      <c r="Y5" s="118"/>
      <c r="Z5" s="118"/>
      <c r="AA5" s="118"/>
    </row>
    <row r="6" spans="1:27" x14ac:dyDescent="0.25">
      <c r="A6" s="123" t="s">
        <v>52</v>
      </c>
      <c r="E6" s="123" t="s">
        <v>53</v>
      </c>
      <c r="G6" s="118"/>
      <c r="H6" s="123" t="s">
        <v>52</v>
      </c>
      <c r="L6" s="123" t="s">
        <v>53</v>
      </c>
      <c r="N6" s="117"/>
      <c r="O6" s="123" t="s">
        <v>52</v>
      </c>
      <c r="Q6" s="118"/>
      <c r="R6" s="118"/>
      <c r="S6" s="123" t="s">
        <v>53</v>
      </c>
      <c r="T6" s="118"/>
      <c r="V6" s="123" t="s">
        <v>52</v>
      </c>
      <c r="W6" s="118"/>
      <c r="X6" s="118"/>
      <c r="Y6" s="118"/>
      <c r="Z6" s="123" t="s">
        <v>53</v>
      </c>
      <c r="AA6" s="118"/>
    </row>
    <row r="7" spans="1:27" x14ac:dyDescent="0.25">
      <c r="A7" s="123"/>
      <c r="E7" s="123"/>
      <c r="G7" s="118"/>
      <c r="H7" s="123"/>
      <c r="L7" s="123"/>
      <c r="N7" s="117"/>
      <c r="O7" s="123"/>
      <c r="Q7" s="118"/>
      <c r="R7" s="118"/>
      <c r="S7" s="123"/>
      <c r="T7" s="118"/>
      <c r="V7" s="123"/>
      <c r="W7" s="118"/>
      <c r="X7" s="118"/>
      <c r="Y7" s="118"/>
      <c r="Z7" s="123"/>
      <c r="AA7" s="118"/>
    </row>
    <row r="8" spans="1:27" ht="15.75" thickBot="1" x14ac:dyDescent="0.3">
      <c r="E8" s="128" t="s">
        <v>31</v>
      </c>
      <c r="F8" s="128" t="s">
        <v>54</v>
      </c>
      <c r="G8" s="118"/>
      <c r="L8" s="128" t="s">
        <v>31</v>
      </c>
      <c r="M8" s="128" t="s">
        <v>55</v>
      </c>
      <c r="N8" s="117"/>
      <c r="Q8" s="118"/>
      <c r="R8" s="118"/>
      <c r="S8" s="128" t="s">
        <v>31</v>
      </c>
      <c r="T8" s="128" t="s">
        <v>56</v>
      </c>
      <c r="V8" s="118"/>
      <c r="W8" s="118"/>
      <c r="X8" s="118"/>
      <c r="Y8" s="118"/>
      <c r="Z8" s="128" t="s">
        <v>31</v>
      </c>
      <c r="AA8" s="128" t="s">
        <v>57</v>
      </c>
    </row>
    <row r="9" spans="1:27" ht="30.75" thickBot="1" x14ac:dyDescent="0.3">
      <c r="A9" s="56" t="s">
        <v>58</v>
      </c>
      <c r="B9" s="54" t="s">
        <v>59</v>
      </c>
      <c r="C9" s="54" t="s">
        <v>60</v>
      </c>
      <c r="E9" s="123" t="s">
        <v>61</v>
      </c>
      <c r="F9" s="122">
        <v>0.46618409999999999</v>
      </c>
      <c r="G9" s="124"/>
      <c r="H9" s="56" t="s">
        <v>58</v>
      </c>
      <c r="I9" s="54" t="s">
        <v>59</v>
      </c>
      <c r="J9" s="54" t="s">
        <v>60</v>
      </c>
      <c r="L9" s="123" t="s">
        <v>61</v>
      </c>
      <c r="M9" s="122">
        <v>0.42122590405836485</v>
      </c>
      <c r="N9" s="117"/>
      <c r="O9" s="56" t="s">
        <v>58</v>
      </c>
      <c r="P9" s="54" t="s">
        <v>59</v>
      </c>
      <c r="Q9" s="54" t="s">
        <v>60</v>
      </c>
      <c r="R9" s="118"/>
      <c r="S9" s="123" t="s">
        <v>61</v>
      </c>
      <c r="T9" s="122">
        <v>0.41271982750195491</v>
      </c>
      <c r="V9" s="56" t="s">
        <v>58</v>
      </c>
      <c r="W9" s="54" t="s">
        <v>59</v>
      </c>
      <c r="X9" s="54" t="s">
        <v>60</v>
      </c>
      <c r="Y9" s="118"/>
      <c r="Z9" s="123" t="s">
        <v>61</v>
      </c>
      <c r="AA9" s="122">
        <v>0.47104509999999999</v>
      </c>
    </row>
    <row r="10" spans="1:27" x14ac:dyDescent="0.25">
      <c r="A10" s="58" t="s">
        <v>62</v>
      </c>
      <c r="B10" s="127">
        <v>0.66222610000000004</v>
      </c>
      <c r="C10" s="127">
        <v>6.79</v>
      </c>
      <c r="E10" s="123" t="s">
        <v>63</v>
      </c>
      <c r="F10" s="122">
        <v>0.44455529999999999</v>
      </c>
      <c r="G10" s="124"/>
      <c r="H10" s="58" t="s">
        <v>62</v>
      </c>
      <c r="I10" s="127">
        <v>0.68456289999999997</v>
      </c>
      <c r="J10" s="127">
        <v>9.81</v>
      </c>
      <c r="L10" s="123" t="s">
        <v>63</v>
      </c>
      <c r="M10" s="122">
        <v>0.42993136470490917</v>
      </c>
      <c r="N10" s="117"/>
      <c r="O10" s="58" t="s">
        <v>62</v>
      </c>
      <c r="P10" s="127">
        <v>0.4434707</v>
      </c>
      <c r="Q10" s="127">
        <v>6.08</v>
      </c>
      <c r="R10" s="118"/>
      <c r="S10" s="123" t="s">
        <v>63</v>
      </c>
      <c r="T10" s="122">
        <v>0.43834912371623103</v>
      </c>
      <c r="V10" s="58" t="s">
        <v>62</v>
      </c>
      <c r="W10" s="127">
        <v>0.58762590000000003</v>
      </c>
      <c r="X10" s="127">
        <v>4.9800000000000004</v>
      </c>
      <c r="Y10" s="118"/>
      <c r="Z10" s="123" t="s">
        <v>63</v>
      </c>
      <c r="AA10" s="122">
        <v>0.46405489999999999</v>
      </c>
    </row>
    <row r="11" spans="1:27" x14ac:dyDescent="0.25">
      <c r="A11" s="60" t="s">
        <v>64</v>
      </c>
      <c r="B11" s="126">
        <v>0.21734829999999999</v>
      </c>
      <c r="C11" s="126">
        <v>4</v>
      </c>
      <c r="E11" s="123" t="s">
        <v>65</v>
      </c>
      <c r="F11" s="122">
        <v>0.79495130000000003</v>
      </c>
      <c r="G11" s="124"/>
      <c r="H11" s="60" t="s">
        <v>64</v>
      </c>
      <c r="I11" s="122">
        <v>0.17842150000000001</v>
      </c>
      <c r="J11" s="122">
        <v>5.0199999999999996</v>
      </c>
      <c r="L11" s="123" t="s">
        <v>65</v>
      </c>
      <c r="M11" s="122">
        <v>0.77445788315766384</v>
      </c>
      <c r="N11" s="117"/>
      <c r="O11" s="60" t="s">
        <v>64</v>
      </c>
      <c r="P11" s="122">
        <v>0.19498370000000001</v>
      </c>
      <c r="Q11" s="122">
        <v>6.83</v>
      </c>
      <c r="R11" s="118"/>
      <c r="S11" s="123" t="s">
        <v>65</v>
      </c>
      <c r="T11" s="122">
        <v>0.7988185942358651</v>
      </c>
      <c r="V11" s="60" t="s">
        <v>64</v>
      </c>
      <c r="W11" s="122">
        <v>0.20179810000000001</v>
      </c>
      <c r="X11" s="122">
        <v>3.99</v>
      </c>
      <c r="Y11" s="118"/>
      <c r="Z11" s="123" t="s">
        <v>65</v>
      </c>
      <c r="AA11" s="122">
        <v>0.9187244</v>
      </c>
    </row>
    <row r="12" spans="1:27" x14ac:dyDescent="0.25">
      <c r="A12" s="60" t="s">
        <v>66</v>
      </c>
      <c r="B12" s="126">
        <v>0.10465439999999999</v>
      </c>
      <c r="C12" s="126">
        <v>1.2</v>
      </c>
      <c r="E12" s="123" t="s">
        <v>67</v>
      </c>
      <c r="F12" s="122">
        <v>0.59084780000000003</v>
      </c>
      <c r="G12" s="124"/>
      <c r="H12" s="60" t="s">
        <v>66</v>
      </c>
      <c r="I12" s="122">
        <v>0.1334892</v>
      </c>
      <c r="J12" s="122">
        <v>1.84</v>
      </c>
      <c r="L12" s="123" t="s">
        <v>67</v>
      </c>
      <c r="M12" s="122">
        <v>0.56657546198382458</v>
      </c>
      <c r="N12" s="117"/>
      <c r="O12" s="60" t="s">
        <v>66</v>
      </c>
      <c r="P12" s="122">
        <v>0.33183750000000001</v>
      </c>
      <c r="Q12" s="122">
        <v>5.26</v>
      </c>
      <c r="R12" s="118"/>
      <c r="S12" s="123" t="s">
        <v>67</v>
      </c>
      <c r="T12" s="122">
        <v>0.61728361064471871</v>
      </c>
      <c r="V12" s="60" t="s">
        <v>66</v>
      </c>
      <c r="W12" s="122">
        <v>0.18313090000000001</v>
      </c>
      <c r="X12" s="122">
        <v>1.73</v>
      </c>
      <c r="Y12" s="118"/>
      <c r="Z12" s="123" t="s">
        <v>67</v>
      </c>
      <c r="AA12" s="122">
        <v>0.60816099999999995</v>
      </c>
    </row>
    <row r="13" spans="1:27" x14ac:dyDescent="0.25">
      <c r="A13" s="60" t="s">
        <v>68</v>
      </c>
      <c r="B13" s="126">
        <v>-8.4177299999999997E-2</v>
      </c>
      <c r="C13" s="126">
        <v>-1.82</v>
      </c>
      <c r="E13" s="123" t="s">
        <v>69</v>
      </c>
      <c r="F13" s="122">
        <v>0.60763420000000001</v>
      </c>
      <c r="G13" s="124"/>
      <c r="H13" s="60" t="s">
        <v>68</v>
      </c>
      <c r="I13" s="122">
        <v>-0.16082579999999999</v>
      </c>
      <c r="J13" s="122">
        <v>-5.82</v>
      </c>
      <c r="L13" s="123" t="s">
        <v>69</v>
      </c>
      <c r="M13" s="122">
        <v>0.58179216490621677</v>
      </c>
      <c r="N13" s="117"/>
      <c r="O13" s="60" t="s">
        <v>70</v>
      </c>
      <c r="P13" s="122">
        <v>-0.80351070000000002</v>
      </c>
      <c r="Q13" s="122">
        <v>-3.11</v>
      </c>
      <c r="R13" s="118"/>
      <c r="S13" s="123" t="s">
        <v>69</v>
      </c>
      <c r="T13" s="122">
        <v>0.59260156674323861</v>
      </c>
      <c r="V13" s="60" t="s">
        <v>70</v>
      </c>
      <c r="W13" s="122">
        <v>-0.4383821</v>
      </c>
      <c r="X13" s="122">
        <v>-1.1100000000000001</v>
      </c>
      <c r="Y13" s="118"/>
      <c r="Z13" s="123" t="s">
        <v>69</v>
      </c>
      <c r="AA13" s="122">
        <v>0.60324129999999998</v>
      </c>
    </row>
    <row r="14" spans="1:27" x14ac:dyDescent="0.25">
      <c r="A14" s="60" t="s">
        <v>71</v>
      </c>
      <c r="B14" s="126">
        <v>1.0208699999999999E-2</v>
      </c>
      <c r="C14" s="126">
        <v>4.6900000000000004</v>
      </c>
      <c r="E14" s="123" t="s">
        <v>72</v>
      </c>
      <c r="F14" s="122">
        <v>0.58154870000000003</v>
      </c>
      <c r="G14" s="124"/>
      <c r="H14" s="60" t="s">
        <v>71</v>
      </c>
      <c r="I14" s="122">
        <v>1.1357000000000001E-2</v>
      </c>
      <c r="J14" s="122">
        <v>3.01</v>
      </c>
      <c r="L14" s="123" t="s">
        <v>72</v>
      </c>
      <c r="M14" s="122">
        <v>0.58154303667660601</v>
      </c>
      <c r="N14" s="117"/>
      <c r="O14" s="60" t="s">
        <v>73</v>
      </c>
      <c r="P14" s="122">
        <v>0.24958440000000001</v>
      </c>
      <c r="Q14" s="122">
        <v>2.57</v>
      </c>
      <c r="R14" s="118"/>
      <c r="S14" s="123" t="s">
        <v>72</v>
      </c>
      <c r="T14" s="122">
        <v>0.67674962811767103</v>
      </c>
      <c r="V14" s="60" t="s">
        <v>73</v>
      </c>
      <c r="W14" s="122">
        <v>2.06357E-2</v>
      </c>
      <c r="X14" s="122">
        <v>0.13</v>
      </c>
      <c r="Y14" s="118"/>
      <c r="Z14" s="123" t="s">
        <v>72</v>
      </c>
      <c r="AA14" s="122">
        <v>0.65688349999999995</v>
      </c>
    </row>
    <row r="15" spans="1:27" x14ac:dyDescent="0.25">
      <c r="A15" s="60" t="s">
        <v>74</v>
      </c>
      <c r="B15" s="126">
        <v>3.58611E-2</v>
      </c>
      <c r="C15" s="126">
        <v>0.36</v>
      </c>
      <c r="E15" s="123" t="s">
        <v>75</v>
      </c>
      <c r="F15" s="122">
        <v>0.6436366</v>
      </c>
      <c r="G15" s="124"/>
      <c r="H15" s="60" t="s">
        <v>74</v>
      </c>
      <c r="I15" s="122">
        <v>-0.33299570000000001</v>
      </c>
      <c r="J15" s="122">
        <v>-1.71</v>
      </c>
      <c r="L15" s="123" t="s">
        <v>75</v>
      </c>
      <c r="M15" s="122">
        <v>0.65429988033275721</v>
      </c>
      <c r="N15" s="117"/>
      <c r="O15" s="60" t="s">
        <v>76</v>
      </c>
      <c r="P15" s="122">
        <v>0.41956389999999999</v>
      </c>
      <c r="Q15" s="122">
        <v>2.13</v>
      </c>
      <c r="R15" s="118"/>
      <c r="S15" s="123" t="s">
        <v>75</v>
      </c>
      <c r="T15" s="122">
        <v>0.75510572985098845</v>
      </c>
      <c r="V15" s="60" t="s">
        <v>76</v>
      </c>
      <c r="W15" s="122">
        <v>0.36341380000000001</v>
      </c>
      <c r="X15" s="122">
        <v>1.24</v>
      </c>
      <c r="Y15" s="118"/>
      <c r="Z15" s="123" t="s">
        <v>75</v>
      </c>
      <c r="AA15" s="122">
        <v>0.74786960000000002</v>
      </c>
    </row>
    <row r="16" spans="1:27" x14ac:dyDescent="0.25">
      <c r="A16" s="60" t="s">
        <v>77</v>
      </c>
      <c r="B16" s="126">
        <v>0.31793729999999998</v>
      </c>
      <c r="C16" s="126">
        <v>3.47</v>
      </c>
      <c r="E16" s="123" t="s">
        <v>33</v>
      </c>
      <c r="F16" s="122">
        <v>0.61350289999999996</v>
      </c>
      <c r="G16" s="124"/>
      <c r="H16" s="60" t="s">
        <v>77</v>
      </c>
      <c r="I16" s="122">
        <v>-9.0877299999999994E-2</v>
      </c>
      <c r="J16" s="122">
        <v>-0.47</v>
      </c>
      <c r="L16" s="123" t="s">
        <v>33</v>
      </c>
      <c r="M16" s="122">
        <v>0.5950333051268144</v>
      </c>
      <c r="N16" s="117"/>
      <c r="O16" s="60" t="s">
        <v>78</v>
      </c>
      <c r="P16" s="122">
        <v>3.7489700000000001E-2</v>
      </c>
      <c r="Q16" s="122">
        <v>0.9</v>
      </c>
      <c r="R16" s="118"/>
      <c r="S16" s="123" t="s">
        <v>33</v>
      </c>
      <c r="T16" s="122">
        <v>0.49329120490565309</v>
      </c>
      <c r="V16" s="60" t="s">
        <v>78</v>
      </c>
      <c r="W16" s="122">
        <v>0.16860130000000001</v>
      </c>
      <c r="X16" s="122">
        <v>2.16</v>
      </c>
      <c r="Y16" s="118"/>
      <c r="Z16" s="123" t="s">
        <v>33</v>
      </c>
      <c r="AA16" s="122">
        <v>0.5875148</v>
      </c>
    </row>
    <row r="17" spans="1:27" ht="15.75" thickBot="1" x14ac:dyDescent="0.3">
      <c r="A17" s="63" t="s">
        <v>79</v>
      </c>
      <c r="B17" s="125">
        <v>-11.05354</v>
      </c>
      <c r="C17" s="125">
        <v>-2.5099999999999998</v>
      </c>
      <c r="E17" s="123" t="s">
        <v>80</v>
      </c>
      <c r="F17" s="122">
        <v>0.95882509999999999</v>
      </c>
      <c r="G17" s="124"/>
      <c r="H17" s="60" t="s">
        <v>81</v>
      </c>
      <c r="I17" s="122">
        <v>-2.04563E-2</v>
      </c>
      <c r="J17" s="122">
        <v>-0.09</v>
      </c>
      <c r="L17" s="123" t="s">
        <v>80</v>
      </c>
      <c r="M17" s="122">
        <v>1</v>
      </c>
      <c r="N17" s="117"/>
      <c r="O17" s="60" t="s">
        <v>82</v>
      </c>
      <c r="P17" s="122">
        <v>-0.26649200000000001</v>
      </c>
      <c r="Q17" s="122">
        <v>-3.58</v>
      </c>
      <c r="R17" s="118"/>
      <c r="S17" s="123" t="s">
        <v>80</v>
      </c>
      <c r="T17" s="122">
        <v>1</v>
      </c>
      <c r="V17" s="60" t="s">
        <v>82</v>
      </c>
      <c r="W17" s="122">
        <v>-0.2004609</v>
      </c>
      <c r="X17" s="122">
        <v>-1.81</v>
      </c>
      <c r="Y17" s="118"/>
      <c r="Z17" s="123" t="s">
        <v>80</v>
      </c>
      <c r="AA17" s="122">
        <v>0.9424188</v>
      </c>
    </row>
    <row r="18" spans="1:27" x14ac:dyDescent="0.25">
      <c r="E18" s="123" t="s">
        <v>83</v>
      </c>
      <c r="F18" s="122">
        <v>0.76518580000000003</v>
      </c>
      <c r="G18" s="124"/>
      <c r="H18" s="60" t="s">
        <v>84</v>
      </c>
      <c r="I18" s="122">
        <v>-0.60899400000000004</v>
      </c>
      <c r="J18" s="122">
        <v>-2.95</v>
      </c>
      <c r="L18" s="123" t="s">
        <v>83</v>
      </c>
      <c r="M18" s="122">
        <v>0.73691737719793426</v>
      </c>
      <c r="N18" s="117"/>
      <c r="O18" s="60" t="s">
        <v>85</v>
      </c>
      <c r="P18" s="122">
        <v>2.7043000000000002E-3</v>
      </c>
      <c r="Q18" s="122">
        <v>0.02</v>
      </c>
      <c r="R18" s="118"/>
      <c r="S18" s="123" t="s">
        <v>83</v>
      </c>
      <c r="T18" s="122">
        <v>0.79718915069482221</v>
      </c>
      <c r="V18" s="60" t="s">
        <v>85</v>
      </c>
      <c r="W18" s="122">
        <v>-8.12943E-2</v>
      </c>
      <c r="X18" s="122">
        <v>-0.33</v>
      </c>
      <c r="Y18" s="118"/>
      <c r="Z18" s="123" t="s">
        <v>83</v>
      </c>
      <c r="AA18" s="122">
        <v>0.78548839999999998</v>
      </c>
    </row>
    <row r="19" spans="1:27" x14ac:dyDescent="0.25">
      <c r="E19" s="123" t="s">
        <v>86</v>
      </c>
      <c r="F19" s="122">
        <v>0.68746160000000001</v>
      </c>
      <c r="G19" s="124"/>
      <c r="H19" s="60" t="s">
        <v>87</v>
      </c>
      <c r="I19" s="122">
        <v>-0.29644100000000001</v>
      </c>
      <c r="J19" s="122">
        <v>-1.46</v>
      </c>
      <c r="L19" s="123" t="s">
        <v>86</v>
      </c>
      <c r="M19" s="122">
        <v>0.70052207534798605</v>
      </c>
      <c r="N19" s="117"/>
      <c r="O19" s="60" t="s">
        <v>68</v>
      </c>
      <c r="P19" s="122">
        <v>-0.12876029999999999</v>
      </c>
      <c r="Q19" s="122">
        <v>-5.14</v>
      </c>
      <c r="R19" s="118"/>
      <c r="S19" s="123" t="s">
        <v>86</v>
      </c>
      <c r="T19" s="122">
        <v>0.61982977195795941</v>
      </c>
      <c r="V19" s="60" t="s">
        <v>68</v>
      </c>
      <c r="W19" s="122">
        <v>-5.4162399999999999E-2</v>
      </c>
      <c r="X19" s="122">
        <v>-1.1200000000000001</v>
      </c>
      <c r="Y19" s="118"/>
      <c r="Z19" s="123" t="s">
        <v>86</v>
      </c>
      <c r="AA19" s="122">
        <v>0.63234199999999996</v>
      </c>
    </row>
    <row r="20" spans="1:27" x14ac:dyDescent="0.25">
      <c r="E20" s="123" t="s">
        <v>88</v>
      </c>
      <c r="F20" s="122">
        <v>0.76922559999999995</v>
      </c>
      <c r="G20" s="124"/>
      <c r="H20" s="60" t="s">
        <v>89</v>
      </c>
      <c r="I20" s="122">
        <v>-0.32294400000000001</v>
      </c>
      <c r="J20" s="122">
        <v>-1.6</v>
      </c>
      <c r="L20" s="123" t="s">
        <v>88</v>
      </c>
      <c r="M20" s="122">
        <v>0.7413821237755599</v>
      </c>
      <c r="N20" s="117"/>
      <c r="O20" s="60" t="s">
        <v>71</v>
      </c>
      <c r="P20" s="122">
        <v>1.36501E-2</v>
      </c>
      <c r="Q20" s="122">
        <v>3.87</v>
      </c>
      <c r="R20" s="118"/>
      <c r="S20" s="123" t="s">
        <v>88</v>
      </c>
      <c r="T20" s="122">
        <v>0.75524105692272114</v>
      </c>
      <c r="V20" s="60" t="s">
        <v>71</v>
      </c>
      <c r="W20" s="122">
        <v>1.07437E-2</v>
      </c>
      <c r="X20" s="122">
        <v>4.5599999999999996</v>
      </c>
      <c r="Y20" s="118"/>
      <c r="Z20" s="123" t="s">
        <v>88</v>
      </c>
      <c r="AA20" s="122">
        <v>0.75810809999999995</v>
      </c>
    </row>
    <row r="21" spans="1:27" x14ac:dyDescent="0.25">
      <c r="E21" s="123" t="s">
        <v>90</v>
      </c>
      <c r="F21" s="122">
        <v>0.7696347</v>
      </c>
      <c r="G21" s="124"/>
      <c r="H21" s="60" t="s">
        <v>91</v>
      </c>
      <c r="I21" s="122">
        <v>-0.32251570000000002</v>
      </c>
      <c r="J21" s="122">
        <v>-1.5</v>
      </c>
      <c r="L21" s="123" t="s">
        <v>90</v>
      </c>
      <c r="M21" s="122">
        <v>0.78261398456542486</v>
      </c>
      <c r="N21" s="117"/>
      <c r="O21" s="60" t="s">
        <v>74</v>
      </c>
      <c r="P21" s="122">
        <v>-0.45048779999999999</v>
      </c>
      <c r="Q21" s="122">
        <v>-2.93</v>
      </c>
      <c r="R21" s="118"/>
      <c r="S21" s="123" t="s">
        <v>90</v>
      </c>
      <c r="T21" s="122">
        <v>0.64528164408331024</v>
      </c>
      <c r="V21" s="60" t="s">
        <v>74</v>
      </c>
      <c r="W21" s="122">
        <v>-7.6793100000000003E-2</v>
      </c>
      <c r="X21" s="122">
        <v>-0.74</v>
      </c>
      <c r="Y21" s="118"/>
      <c r="Z21" s="123" t="s">
        <v>90</v>
      </c>
      <c r="AA21" s="122">
        <v>0.73570539999999995</v>
      </c>
    </row>
    <row r="22" spans="1:27" x14ac:dyDescent="0.25">
      <c r="G22" s="118"/>
      <c r="H22" s="60" t="s">
        <v>92</v>
      </c>
      <c r="I22" s="122">
        <v>-0.44039650000000002</v>
      </c>
      <c r="J22" s="122">
        <v>-1.96</v>
      </c>
      <c r="K22" s="117"/>
      <c r="L22" s="117"/>
      <c r="M22" s="117"/>
      <c r="N22" s="117"/>
      <c r="O22" s="60" t="s">
        <v>77</v>
      </c>
      <c r="P22" s="122">
        <v>-0.2248049</v>
      </c>
      <c r="Q22" s="122">
        <v>-1.46</v>
      </c>
      <c r="V22" s="60" t="s">
        <v>77</v>
      </c>
      <c r="W22" s="122">
        <v>0.2330285</v>
      </c>
      <c r="X22" s="122">
        <v>2.66</v>
      </c>
    </row>
    <row r="23" spans="1:27" ht="15.75" thickBot="1" x14ac:dyDescent="0.3">
      <c r="G23" s="118"/>
      <c r="H23" s="60" t="s">
        <v>93</v>
      </c>
      <c r="I23" s="122">
        <v>-0.34544809999999998</v>
      </c>
      <c r="J23" s="122">
        <v>-1.76</v>
      </c>
      <c r="K23" s="117"/>
      <c r="L23" s="117"/>
      <c r="M23" s="117"/>
      <c r="N23" s="117"/>
      <c r="O23" s="60" t="s">
        <v>81</v>
      </c>
      <c r="P23" s="122">
        <v>-6.02467E-2</v>
      </c>
      <c r="Q23" s="122">
        <v>-0.32</v>
      </c>
      <c r="V23" s="63" t="s">
        <v>79</v>
      </c>
      <c r="W23" s="121">
        <v>-12.098610000000001</v>
      </c>
      <c r="X23" s="121">
        <v>-2.5499999999999998</v>
      </c>
    </row>
    <row r="24" spans="1:27" x14ac:dyDescent="0.25">
      <c r="G24" s="118"/>
      <c r="H24" s="60" t="s">
        <v>94</v>
      </c>
      <c r="I24" s="122">
        <v>-0.86458599999999997</v>
      </c>
      <c r="J24" s="122">
        <v>-4.1900000000000004</v>
      </c>
      <c r="K24" s="117"/>
      <c r="L24" s="117"/>
      <c r="M24" s="117"/>
      <c r="N24" s="117"/>
      <c r="O24" s="60" t="s">
        <v>84</v>
      </c>
      <c r="P24" s="122">
        <v>-0.66036490000000003</v>
      </c>
      <c r="Q24" s="122">
        <v>-3.99</v>
      </c>
    </row>
    <row r="25" spans="1:27" x14ac:dyDescent="0.25">
      <c r="G25" s="118"/>
      <c r="H25" s="60" t="s">
        <v>95</v>
      </c>
      <c r="I25" s="122">
        <v>-0.55930650000000004</v>
      </c>
      <c r="J25" s="122">
        <v>-2.76</v>
      </c>
      <c r="K25" s="117"/>
      <c r="L25" s="117"/>
      <c r="M25" s="117"/>
      <c r="N25" s="117"/>
      <c r="O25" s="60" t="s">
        <v>87</v>
      </c>
      <c r="P25" s="122">
        <v>-0.40255960000000002</v>
      </c>
      <c r="Q25" s="122">
        <v>-2.4500000000000002</v>
      </c>
    </row>
    <row r="26" spans="1:27" x14ac:dyDescent="0.25">
      <c r="H26" s="60" t="s">
        <v>96</v>
      </c>
      <c r="I26" s="122">
        <v>-0.50865660000000001</v>
      </c>
      <c r="J26" s="122">
        <v>-2.5</v>
      </c>
      <c r="O26" s="60" t="s">
        <v>89</v>
      </c>
      <c r="P26" s="122">
        <v>-0.3617533</v>
      </c>
      <c r="Q26" s="122">
        <v>-2.16</v>
      </c>
    </row>
    <row r="27" spans="1:27" x14ac:dyDescent="0.25">
      <c r="E27" s="120"/>
      <c r="H27" s="60" t="s">
        <v>97</v>
      </c>
      <c r="I27" s="122">
        <v>-0.56534689999999999</v>
      </c>
      <c r="J27" s="122">
        <v>-2.54</v>
      </c>
      <c r="O27" s="60" t="s">
        <v>91</v>
      </c>
      <c r="P27" s="122">
        <v>-0.49453239999999998</v>
      </c>
      <c r="Q27" s="122">
        <v>-2.59</v>
      </c>
    </row>
    <row r="28" spans="1:27" x14ac:dyDescent="0.25">
      <c r="E28" s="120"/>
      <c r="H28" s="60" t="s">
        <v>98</v>
      </c>
      <c r="I28" s="122">
        <v>-0.61947030000000003</v>
      </c>
      <c r="J28" s="122">
        <v>-2.85</v>
      </c>
      <c r="O28" s="60" t="s">
        <v>92</v>
      </c>
      <c r="P28" s="122">
        <v>-0.60408879999999998</v>
      </c>
      <c r="Q28" s="122">
        <v>-2.95</v>
      </c>
    </row>
    <row r="29" spans="1:27" ht="15.75" thickBot="1" x14ac:dyDescent="0.3">
      <c r="E29" s="120"/>
      <c r="H29" s="63" t="s">
        <v>79</v>
      </c>
      <c r="I29" s="121">
        <v>-12.663550000000001</v>
      </c>
      <c r="J29" s="121">
        <v>-1.67</v>
      </c>
      <c r="O29" s="60" t="s">
        <v>93</v>
      </c>
      <c r="P29" s="122">
        <v>-0.17833070000000001</v>
      </c>
      <c r="Q29" s="122">
        <v>-1.1200000000000001</v>
      </c>
    </row>
    <row r="30" spans="1:27" x14ac:dyDescent="0.25">
      <c r="E30" s="120"/>
      <c r="O30" s="60" t="s">
        <v>94</v>
      </c>
      <c r="P30" s="122">
        <v>-0.8849863</v>
      </c>
      <c r="Q30" s="122">
        <v>-5.16</v>
      </c>
    </row>
    <row r="31" spans="1:27" x14ac:dyDescent="0.25">
      <c r="E31" s="120"/>
      <c r="O31" s="60" t="s">
        <v>95</v>
      </c>
      <c r="P31" s="122">
        <v>-0.65832299999999999</v>
      </c>
      <c r="Q31" s="122">
        <v>-3.92</v>
      </c>
    </row>
    <row r="32" spans="1:27" x14ac:dyDescent="0.25">
      <c r="E32" s="120"/>
      <c r="O32" s="60" t="s">
        <v>96</v>
      </c>
      <c r="P32" s="122">
        <v>-0.40667589999999998</v>
      </c>
      <c r="Q32" s="122">
        <v>-2.34</v>
      </c>
    </row>
    <row r="33" spans="5:17" x14ac:dyDescent="0.25">
      <c r="E33" s="120"/>
      <c r="O33" s="60" t="s">
        <v>97</v>
      </c>
      <c r="P33" s="122">
        <v>-0.60426800000000003</v>
      </c>
      <c r="Q33" s="122">
        <v>-3.41</v>
      </c>
    </row>
    <row r="34" spans="5:17" x14ac:dyDescent="0.25">
      <c r="E34" s="120"/>
      <c r="O34" s="60" t="s">
        <v>98</v>
      </c>
      <c r="P34" s="122">
        <v>-0.44691789999999998</v>
      </c>
      <c r="Q34" s="122">
        <v>-2.5099999999999998</v>
      </c>
    </row>
    <row r="35" spans="5:17" ht="15.75" thickBot="1" x14ac:dyDescent="0.3">
      <c r="E35" s="120"/>
      <c r="O35" s="63" t="s">
        <v>79</v>
      </c>
      <c r="P35" s="121">
        <v>-17.211690000000001</v>
      </c>
      <c r="Q35" s="121">
        <v>-2.42</v>
      </c>
    </row>
    <row r="36" spans="5:17" x14ac:dyDescent="0.25">
      <c r="E36" s="120"/>
    </row>
    <row r="37" spans="5:17" hidden="1" x14ac:dyDescent="0.25">
      <c r="E37" s="120"/>
    </row>
    <row r="38" spans="5:17" hidden="1" x14ac:dyDescent="0.25">
      <c r="E38" s="120"/>
    </row>
    <row r="39" spans="5:17" hidden="1" x14ac:dyDescent="0.25">
      <c r="E39" s="1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N22" sqref="N22"/>
    </sheetView>
  </sheetViews>
  <sheetFormatPr defaultRowHeight="15" x14ac:dyDescent="0.25"/>
  <cols>
    <col min="2" max="2" width="9.42578125" bestFit="1" customWidth="1"/>
    <col min="9" max="9" width="17.85546875" bestFit="1" customWidth="1"/>
    <col min="10" max="10" width="9.42578125" bestFit="1" customWidth="1"/>
    <col min="11" max="11" width="23.42578125" bestFit="1" customWidth="1"/>
    <col min="15" max="15" width="10.140625" bestFit="1" customWidth="1"/>
    <col min="16" max="16" width="9.42578125" bestFit="1" customWidth="1"/>
    <col min="17" max="17" width="23" customWidth="1"/>
  </cols>
  <sheetData>
    <row r="1" spans="1:17" x14ac:dyDescent="0.25">
      <c r="A1" s="141" t="s">
        <v>21</v>
      </c>
      <c r="B1" s="167"/>
    </row>
    <row r="2" spans="1:17" x14ac:dyDescent="0.25">
      <c r="A2" s="167"/>
      <c r="B2" s="167"/>
    </row>
    <row r="3" spans="1:17" x14ac:dyDescent="0.25">
      <c r="A3" s="141" t="s">
        <v>123</v>
      </c>
      <c r="B3" s="167"/>
      <c r="E3" s="141" t="s">
        <v>124</v>
      </c>
      <c r="F3" s="167"/>
      <c r="G3" s="167"/>
      <c r="H3" s="167"/>
      <c r="I3" s="167"/>
      <c r="J3" s="167"/>
      <c r="K3" s="167"/>
    </row>
    <row r="4" spans="1:17" ht="30" x14ac:dyDescent="0.25">
      <c r="A4" s="168"/>
      <c r="B4" s="169"/>
      <c r="E4" s="168"/>
      <c r="F4" s="170"/>
      <c r="G4" s="169"/>
      <c r="H4" s="169"/>
      <c r="I4" s="170" t="s">
        <v>125</v>
      </c>
      <c r="J4" s="170" t="s">
        <v>126</v>
      </c>
      <c r="K4" s="170" t="s">
        <v>127</v>
      </c>
      <c r="N4" s="168" t="s">
        <v>128</v>
      </c>
      <c r="O4" s="169"/>
      <c r="P4" s="169"/>
      <c r="Q4" s="169"/>
    </row>
    <row r="5" spans="1:17" ht="45" x14ac:dyDescent="0.25">
      <c r="A5" s="170" t="s">
        <v>31</v>
      </c>
      <c r="B5" s="170" t="s">
        <v>129</v>
      </c>
      <c r="E5" s="170"/>
      <c r="F5" s="171"/>
      <c r="G5" s="171"/>
      <c r="H5" s="170" t="s">
        <v>31</v>
      </c>
      <c r="I5" s="172" t="s">
        <v>130</v>
      </c>
      <c r="J5" s="171"/>
      <c r="K5" s="171"/>
      <c r="N5" s="168" t="s">
        <v>131</v>
      </c>
      <c r="O5" s="170" t="s">
        <v>125</v>
      </c>
      <c r="P5" s="170" t="s">
        <v>126</v>
      </c>
      <c r="Q5" s="170" t="s">
        <v>127</v>
      </c>
    </row>
    <row r="6" spans="1:17" x14ac:dyDescent="0.25">
      <c r="A6" s="141" t="s">
        <v>80</v>
      </c>
      <c r="B6" s="173">
        <f>VLOOKUP(A6,'Opex Modelling Results'!$E$8:$F$21,2,FALSE)</f>
        <v>0.95882509999999999</v>
      </c>
      <c r="E6" s="167"/>
      <c r="F6" s="167"/>
      <c r="G6" s="167"/>
      <c r="H6" s="141" t="str">
        <f>Inputs!C3</f>
        <v>AND</v>
      </c>
      <c r="I6" s="174">
        <f>Inputs!D23</f>
        <v>4.2918503456009172E-2</v>
      </c>
      <c r="J6" s="175">
        <f>$F$19/(1+I6)</f>
        <v>0.71913576901230558</v>
      </c>
      <c r="K6" s="176">
        <f>MAX((1- (VLOOKUP(H6,A6:B18,2,FALSE))/$J6),0)</f>
        <v>4.4044769259368621E-2</v>
      </c>
      <c r="N6" s="167" t="str">
        <f>A3</f>
        <v>CD SFA</v>
      </c>
      <c r="O6" s="177">
        <f>I6</f>
        <v>4.2918503456009172E-2</v>
      </c>
      <c r="P6" s="178">
        <f t="shared" ref="P6:Q6" si="0">J6</f>
        <v>0.71913576901230558</v>
      </c>
      <c r="Q6" s="178">
        <f t="shared" si="0"/>
        <v>4.4044769259368621E-2</v>
      </c>
    </row>
    <row r="7" spans="1:17" x14ac:dyDescent="0.25">
      <c r="A7" s="141" t="s">
        <v>65</v>
      </c>
      <c r="B7" s="173">
        <f>VLOOKUP(A7,'Opex Modelling Results'!$E$8:$F$21,2,FALSE)</f>
        <v>0.79495130000000003</v>
      </c>
      <c r="E7" s="167"/>
      <c r="F7" s="167"/>
      <c r="G7" s="167"/>
      <c r="H7" s="141"/>
      <c r="I7" s="141"/>
      <c r="J7" s="141"/>
      <c r="K7" s="179"/>
      <c r="N7" s="167" t="str">
        <f>A22</f>
        <v>CD LSE</v>
      </c>
      <c r="O7" s="177">
        <f>I25</f>
        <v>4.2918503456009172E-2</v>
      </c>
      <c r="P7" s="178">
        <f t="shared" ref="P7:Q7" si="1">J25</f>
        <v>0.71913576901230558</v>
      </c>
      <c r="Q7" s="178">
        <f t="shared" si="1"/>
        <v>2.5883420720240968E-2</v>
      </c>
    </row>
    <row r="8" spans="1:17" x14ac:dyDescent="0.25">
      <c r="A8" s="141" t="s">
        <v>90</v>
      </c>
      <c r="B8" s="173">
        <f>VLOOKUP(A8,'Opex Modelling Results'!$E$8:$F$21,2,FALSE)</f>
        <v>0.7696347</v>
      </c>
      <c r="E8" s="167"/>
      <c r="F8" s="167"/>
      <c r="G8" s="167"/>
      <c r="H8" s="167"/>
      <c r="I8" s="167"/>
      <c r="J8" s="167"/>
      <c r="K8" s="167"/>
      <c r="N8" s="167" t="str">
        <f>A41</f>
        <v>Translog LSE</v>
      </c>
      <c r="O8" s="177">
        <f>I44</f>
        <v>4.2918503456009172E-2</v>
      </c>
      <c r="P8" s="178">
        <f t="shared" ref="P8:Q8" si="2">J44</f>
        <v>0.71913576901230558</v>
      </c>
      <c r="Q8" s="178">
        <f t="shared" si="2"/>
        <v>0.1380907491095007</v>
      </c>
    </row>
    <row r="9" spans="1:17" x14ac:dyDescent="0.25">
      <c r="A9" s="141" t="s">
        <v>88</v>
      </c>
      <c r="B9" s="173">
        <f>VLOOKUP(A9,'Opex Modelling Results'!$E$8:$F$21,2,FALSE)</f>
        <v>0.76922559999999995</v>
      </c>
      <c r="E9" s="167"/>
      <c r="F9" s="167"/>
      <c r="G9" s="167"/>
      <c r="H9" s="167"/>
      <c r="I9" s="167"/>
      <c r="J9" s="167"/>
      <c r="K9" s="167"/>
      <c r="N9" s="167" t="s">
        <v>132</v>
      </c>
      <c r="O9" s="177">
        <f>I63</f>
        <v>4.2918503456009172E-2</v>
      </c>
      <c r="P9" s="178">
        <f>J63</f>
        <v>0.71913576901230558</v>
      </c>
      <c r="Q9" s="178">
        <f>K63</f>
        <v>0.12069177025016042</v>
      </c>
    </row>
    <row r="10" spans="1:17" x14ac:dyDescent="0.25">
      <c r="A10" s="141" t="s">
        <v>83</v>
      </c>
      <c r="B10" s="173">
        <f>VLOOKUP(A10,'Opex Modelling Results'!$E$8:$F$21,2,FALSE)</f>
        <v>0.76518580000000003</v>
      </c>
      <c r="E10" s="167"/>
      <c r="F10" s="167"/>
      <c r="G10" s="167"/>
      <c r="H10" s="167"/>
      <c r="I10" s="167"/>
      <c r="J10" s="167"/>
      <c r="K10" s="167"/>
      <c r="N10" s="167" t="s">
        <v>133</v>
      </c>
      <c r="O10" s="167"/>
      <c r="P10" s="167"/>
      <c r="Q10" s="177">
        <f>AVERAGE(Q6:Q9)</f>
        <v>8.2177677334817678E-2</v>
      </c>
    </row>
    <row r="11" spans="1:17" x14ac:dyDescent="0.25">
      <c r="A11" s="141" t="s">
        <v>86</v>
      </c>
      <c r="B11" s="173">
        <f>VLOOKUP(A11,'Opex Modelling Results'!$E$8:$F$21,2,FALSE)</f>
        <v>0.68746160000000001</v>
      </c>
      <c r="E11" s="167"/>
      <c r="F11" s="167"/>
      <c r="G11" s="167"/>
      <c r="H11" s="167"/>
      <c r="I11" s="167"/>
      <c r="J11" s="167"/>
      <c r="K11" s="167"/>
    </row>
    <row r="12" spans="1:17" x14ac:dyDescent="0.25">
      <c r="A12" s="141" t="s">
        <v>33</v>
      </c>
      <c r="B12" s="173">
        <f>VLOOKUP(A12,'Opex Modelling Results'!$E$8:$F$21,2,FALSE)</f>
        <v>0.61350289999999996</v>
      </c>
      <c r="E12" s="167"/>
      <c r="F12" s="167"/>
      <c r="G12" s="167"/>
      <c r="H12" s="167"/>
      <c r="I12" s="167"/>
      <c r="J12" s="167"/>
      <c r="K12" s="167"/>
    </row>
    <row r="13" spans="1:17" x14ac:dyDescent="0.25">
      <c r="A13" s="141" t="s">
        <v>75</v>
      </c>
      <c r="B13" s="173">
        <f>VLOOKUP(A13,'Opex Modelling Results'!$E$8:$F$21,2,FALSE)</f>
        <v>0.6436366</v>
      </c>
      <c r="E13" s="167"/>
      <c r="F13" s="167"/>
      <c r="G13" s="167"/>
      <c r="H13" s="167"/>
      <c r="I13" s="167"/>
      <c r="J13" s="167"/>
      <c r="K13" s="167"/>
    </row>
    <row r="14" spans="1:17" x14ac:dyDescent="0.25">
      <c r="A14" s="141" t="s">
        <v>69</v>
      </c>
      <c r="B14" s="173">
        <f>VLOOKUP(A14,'Opex Modelling Results'!$E$8:$F$21,2,FALSE)</f>
        <v>0.60763420000000001</v>
      </c>
      <c r="E14" s="167"/>
      <c r="F14" s="167"/>
      <c r="G14" s="167"/>
      <c r="H14" s="167"/>
      <c r="I14" s="167"/>
      <c r="J14" s="167"/>
      <c r="K14" s="167"/>
    </row>
    <row r="15" spans="1:17" x14ac:dyDescent="0.25">
      <c r="A15" s="141" t="s">
        <v>67</v>
      </c>
      <c r="B15" s="173">
        <f>VLOOKUP(A15,'Opex Modelling Results'!$E$8:$F$21,2,FALSE)</f>
        <v>0.59084780000000003</v>
      </c>
      <c r="E15" s="167"/>
      <c r="F15" s="167"/>
      <c r="G15" s="167"/>
      <c r="H15" s="167"/>
      <c r="I15" s="167"/>
      <c r="J15" s="167"/>
      <c r="K15" s="167"/>
    </row>
    <row r="16" spans="1:17" x14ac:dyDescent="0.25">
      <c r="A16" s="141" t="s">
        <v>72</v>
      </c>
      <c r="B16" s="173">
        <f>VLOOKUP(A16,'Opex Modelling Results'!$E$8:$F$21,2,FALSE)</f>
        <v>0.58154870000000003</v>
      </c>
      <c r="E16" s="167"/>
      <c r="F16" s="167"/>
      <c r="G16" s="167"/>
      <c r="H16" s="167"/>
      <c r="I16" s="167"/>
      <c r="J16" s="167"/>
      <c r="K16" s="167"/>
    </row>
    <row r="17" spans="1:11" x14ac:dyDescent="0.25">
      <c r="A17" s="141" t="s">
        <v>61</v>
      </c>
      <c r="B17" s="173">
        <f>VLOOKUP(A17,'Opex Modelling Results'!$E$8:$F$21,2,FALSE)</f>
        <v>0.46618409999999999</v>
      </c>
      <c r="E17" s="167"/>
      <c r="F17" s="167"/>
      <c r="G17" s="167"/>
      <c r="H17" s="167"/>
      <c r="I17" s="167"/>
      <c r="J17" s="167"/>
      <c r="K17" s="167"/>
    </row>
    <row r="18" spans="1:11" x14ac:dyDescent="0.25">
      <c r="A18" s="141" t="s">
        <v>63</v>
      </c>
      <c r="B18" s="173">
        <f>VLOOKUP(A18,'Opex Modelling Results'!$E$8:$F$21,2,FALSE)</f>
        <v>0.44455529999999999</v>
      </c>
      <c r="E18" s="167"/>
      <c r="F18" s="167"/>
      <c r="G18" s="167"/>
      <c r="H18" s="167"/>
      <c r="I18" s="167"/>
      <c r="J18" s="167"/>
      <c r="K18" s="167"/>
    </row>
    <row r="19" spans="1:11" x14ac:dyDescent="0.25">
      <c r="A19" s="141"/>
      <c r="B19" s="167"/>
      <c r="E19" s="180" t="s">
        <v>134</v>
      </c>
      <c r="F19" s="181">
        <v>0.75</v>
      </c>
      <c r="G19" s="182"/>
      <c r="H19" s="167"/>
      <c r="I19" s="167"/>
      <c r="J19" s="167"/>
      <c r="K19" s="167"/>
    </row>
    <row r="20" spans="1:11" x14ac:dyDescent="0.25">
      <c r="A20" s="167"/>
      <c r="B20" s="167"/>
      <c r="E20" s="167"/>
      <c r="F20" s="167"/>
      <c r="G20" s="167"/>
      <c r="H20" s="167"/>
      <c r="I20" s="167"/>
      <c r="J20" s="167"/>
      <c r="K20" s="167"/>
    </row>
    <row r="21" spans="1:11" x14ac:dyDescent="0.25">
      <c r="A21" s="167"/>
      <c r="B21" s="167"/>
      <c r="E21" s="167"/>
      <c r="F21" s="167"/>
      <c r="G21" s="167"/>
      <c r="H21" s="167"/>
      <c r="I21" s="167"/>
      <c r="J21" s="167"/>
      <c r="K21" s="167"/>
    </row>
    <row r="22" spans="1:11" x14ac:dyDescent="0.25">
      <c r="A22" s="141" t="s">
        <v>135</v>
      </c>
      <c r="B22" s="167"/>
      <c r="E22" s="141" t="s">
        <v>124</v>
      </c>
      <c r="F22" s="167"/>
      <c r="G22" s="167"/>
      <c r="H22" s="167"/>
      <c r="I22" s="167"/>
      <c r="J22" s="167"/>
      <c r="K22" s="167"/>
    </row>
    <row r="23" spans="1:11" ht="30" x14ac:dyDescent="0.25">
      <c r="A23" s="168"/>
      <c r="B23" s="169"/>
      <c r="E23" s="168"/>
      <c r="F23" s="170"/>
      <c r="G23" s="167"/>
      <c r="H23" s="169"/>
      <c r="I23" s="170" t="s">
        <v>125</v>
      </c>
      <c r="J23" s="170" t="s">
        <v>126</v>
      </c>
      <c r="K23" s="170" t="s">
        <v>127</v>
      </c>
    </row>
    <row r="24" spans="1:11" ht="30" x14ac:dyDescent="0.25">
      <c r="A24" s="170" t="s">
        <v>31</v>
      </c>
      <c r="B24" s="170" t="s">
        <v>129</v>
      </c>
      <c r="E24" s="170"/>
      <c r="F24" s="171"/>
      <c r="G24" s="167"/>
      <c r="H24" s="170" t="s">
        <v>31</v>
      </c>
      <c r="I24" s="172" t="s">
        <v>130</v>
      </c>
      <c r="J24" s="171"/>
      <c r="K24" s="171"/>
    </row>
    <row r="25" spans="1:11" x14ac:dyDescent="0.25">
      <c r="A25" s="141" t="s">
        <v>80</v>
      </c>
      <c r="B25" s="173">
        <f>VLOOKUP(A25,'Opex Modelling Results'!$L$9:$M$21,2,FALSE)</f>
        <v>1</v>
      </c>
      <c r="E25" s="167"/>
      <c r="F25" s="167"/>
      <c r="G25" s="167"/>
      <c r="H25" s="141" t="str">
        <f>H6</f>
        <v>AND</v>
      </c>
      <c r="I25" s="174">
        <f>I6</f>
        <v>4.2918503456009172E-2</v>
      </c>
      <c r="J25" s="176">
        <f>$F$38/(1+I25)</f>
        <v>0.71913576901230558</v>
      </c>
      <c r="K25" s="176">
        <f>MAX((1- (VLOOKUP(H25,A25:B37,2,FALSE))/$J25),0)</f>
        <v>2.5883420720240968E-2</v>
      </c>
    </row>
    <row r="26" spans="1:11" x14ac:dyDescent="0.25">
      <c r="A26" s="141" t="s">
        <v>65</v>
      </c>
      <c r="B26" s="173">
        <f>VLOOKUP(A26,'Opex Modelling Results'!$L$9:$M$21,2,FALSE)</f>
        <v>0.77445788315766384</v>
      </c>
      <c r="E26" s="167"/>
      <c r="F26" s="167"/>
      <c r="G26" s="167"/>
      <c r="H26" s="167"/>
      <c r="I26" s="167"/>
      <c r="J26" s="167"/>
      <c r="K26" s="167"/>
    </row>
    <row r="27" spans="1:11" x14ac:dyDescent="0.25">
      <c r="A27" s="141" t="s">
        <v>90</v>
      </c>
      <c r="B27" s="173">
        <f>VLOOKUP(A27,'Opex Modelling Results'!$L$9:$M$21,2,FALSE)</f>
        <v>0.78261398456542486</v>
      </c>
      <c r="E27" s="167"/>
      <c r="F27" s="167"/>
      <c r="G27" s="167"/>
      <c r="H27" s="167"/>
      <c r="I27" s="167"/>
      <c r="J27" s="167"/>
      <c r="K27" s="167"/>
    </row>
    <row r="28" spans="1:11" x14ac:dyDescent="0.25">
      <c r="A28" s="141" t="s">
        <v>88</v>
      </c>
      <c r="B28" s="173">
        <f>VLOOKUP(A28,'Opex Modelling Results'!$L$9:$M$21,2,FALSE)</f>
        <v>0.7413821237755599</v>
      </c>
      <c r="E28" s="167"/>
      <c r="F28" s="167"/>
      <c r="G28" s="167"/>
      <c r="H28" s="167"/>
      <c r="I28" s="167"/>
      <c r="J28" s="167"/>
      <c r="K28" s="167"/>
    </row>
    <row r="29" spans="1:11" x14ac:dyDescent="0.25">
      <c r="A29" s="141" t="s">
        <v>83</v>
      </c>
      <c r="B29" s="173">
        <f>VLOOKUP(A29,'Opex Modelling Results'!$L$9:$M$21,2,FALSE)</f>
        <v>0.73691737719793426</v>
      </c>
      <c r="E29" s="167"/>
      <c r="F29" s="167"/>
      <c r="G29" s="167"/>
      <c r="H29" s="167"/>
      <c r="I29" s="167"/>
      <c r="J29" s="167"/>
      <c r="K29" s="167"/>
    </row>
    <row r="30" spans="1:11" x14ac:dyDescent="0.25">
      <c r="A30" s="141" t="s">
        <v>86</v>
      </c>
      <c r="B30" s="173">
        <f>VLOOKUP(A30,'Opex Modelling Results'!$L$9:$M$21,2,FALSE)</f>
        <v>0.70052207534798605</v>
      </c>
      <c r="E30" s="167"/>
      <c r="F30" s="167"/>
      <c r="G30" s="167"/>
      <c r="H30" s="167"/>
      <c r="I30" s="167"/>
      <c r="J30" s="167"/>
      <c r="K30" s="167"/>
    </row>
    <row r="31" spans="1:11" x14ac:dyDescent="0.25">
      <c r="A31" s="141" t="s">
        <v>75</v>
      </c>
      <c r="B31" s="173">
        <f>VLOOKUP(A31,'Opex Modelling Results'!$L$9:$M$21,2,FALSE)</f>
        <v>0.65429988033275721</v>
      </c>
      <c r="E31" s="167"/>
      <c r="F31" s="167"/>
      <c r="G31" s="167"/>
      <c r="H31" s="167"/>
      <c r="I31" s="167"/>
      <c r="J31" s="167"/>
      <c r="K31" s="167"/>
    </row>
    <row r="32" spans="1:11" x14ac:dyDescent="0.25">
      <c r="A32" s="141" t="s">
        <v>33</v>
      </c>
      <c r="B32" s="173">
        <f>VLOOKUP(A32,'Opex Modelling Results'!$L$9:$M$21,2,FALSE)</f>
        <v>0.5950333051268144</v>
      </c>
      <c r="E32" s="167"/>
      <c r="F32" s="167"/>
      <c r="G32" s="167"/>
      <c r="H32" s="167"/>
      <c r="I32" s="167"/>
      <c r="J32" s="167"/>
      <c r="K32" s="167"/>
    </row>
    <row r="33" spans="1:11" x14ac:dyDescent="0.25">
      <c r="A33" s="141" t="s">
        <v>69</v>
      </c>
      <c r="B33" s="173">
        <f>VLOOKUP(A33,'Opex Modelling Results'!$L$9:$M$21,2,FALSE)</f>
        <v>0.58179216490621677</v>
      </c>
      <c r="E33" s="167"/>
      <c r="F33" s="167"/>
      <c r="G33" s="167"/>
      <c r="H33" s="167"/>
      <c r="I33" s="167"/>
      <c r="J33" s="167"/>
      <c r="K33" s="167"/>
    </row>
    <row r="34" spans="1:11" x14ac:dyDescent="0.25">
      <c r="A34" s="141" t="s">
        <v>72</v>
      </c>
      <c r="B34" s="173">
        <f>VLOOKUP(A34,'Opex Modelling Results'!$L$9:$M$21,2,FALSE)</f>
        <v>0.58154303667660601</v>
      </c>
      <c r="E34" s="167"/>
      <c r="F34" s="167"/>
      <c r="G34" s="167"/>
      <c r="H34" s="167"/>
      <c r="I34" s="167"/>
      <c r="J34" s="167"/>
      <c r="K34" s="167"/>
    </row>
    <row r="35" spans="1:11" x14ac:dyDescent="0.25">
      <c r="A35" s="141" t="s">
        <v>67</v>
      </c>
      <c r="B35" s="173">
        <f>VLOOKUP(A35,'Opex Modelling Results'!$L$9:$M$21,2,FALSE)</f>
        <v>0.56657546198382458</v>
      </c>
      <c r="E35" s="167"/>
      <c r="F35" s="167"/>
      <c r="G35" s="167"/>
      <c r="H35" s="167"/>
      <c r="I35" s="167"/>
      <c r="J35" s="167"/>
      <c r="K35" s="167"/>
    </row>
    <row r="36" spans="1:11" x14ac:dyDescent="0.25">
      <c r="A36" s="141" t="s">
        <v>63</v>
      </c>
      <c r="B36" s="173">
        <f>VLOOKUP(A36,'Opex Modelling Results'!$L$9:$M$21,2,FALSE)</f>
        <v>0.42993136470490917</v>
      </c>
      <c r="E36" s="167"/>
      <c r="F36" s="167"/>
      <c r="G36" s="167"/>
      <c r="H36" s="167"/>
      <c r="I36" s="167"/>
      <c r="J36" s="167"/>
      <c r="K36" s="167"/>
    </row>
    <row r="37" spans="1:11" x14ac:dyDescent="0.25">
      <c r="A37" s="141" t="s">
        <v>61</v>
      </c>
      <c r="B37" s="173">
        <f>VLOOKUP(A37,'Opex Modelling Results'!$L$9:$M$21,2,FALSE)</f>
        <v>0.42122590405836485</v>
      </c>
      <c r="E37" s="167"/>
      <c r="F37" s="167"/>
      <c r="G37" s="167"/>
      <c r="H37" s="167"/>
      <c r="I37" s="167"/>
      <c r="J37" s="167"/>
      <c r="K37" s="167"/>
    </row>
    <row r="38" spans="1:11" x14ac:dyDescent="0.25">
      <c r="A38" s="141"/>
      <c r="B38" s="167"/>
      <c r="E38" s="180" t="s">
        <v>134</v>
      </c>
      <c r="F38" s="181">
        <v>0.75</v>
      </c>
      <c r="G38" s="167"/>
      <c r="H38" s="167"/>
      <c r="I38" s="167"/>
      <c r="J38" s="167"/>
      <c r="K38" s="167"/>
    </row>
    <row r="39" spans="1:11" x14ac:dyDescent="0.25">
      <c r="A39" s="167"/>
      <c r="B39" s="167"/>
      <c r="E39" s="167"/>
      <c r="F39" s="167"/>
      <c r="G39" s="167"/>
      <c r="H39" s="167"/>
      <c r="I39" s="167"/>
      <c r="J39" s="167"/>
      <c r="K39" s="167"/>
    </row>
    <row r="40" spans="1:11" x14ac:dyDescent="0.25">
      <c r="A40" s="167"/>
      <c r="B40" s="167"/>
      <c r="E40" s="167"/>
      <c r="F40" s="167"/>
      <c r="G40" s="167"/>
      <c r="H40" s="167"/>
      <c r="I40" s="167"/>
      <c r="J40" s="167"/>
      <c r="K40" s="167"/>
    </row>
    <row r="41" spans="1:11" x14ac:dyDescent="0.25">
      <c r="A41" s="141" t="s">
        <v>50</v>
      </c>
      <c r="B41" s="167"/>
      <c r="E41" s="141" t="s">
        <v>124</v>
      </c>
      <c r="F41" s="167"/>
      <c r="G41" s="167"/>
      <c r="H41" s="167"/>
      <c r="I41" s="167"/>
      <c r="J41" s="167"/>
      <c r="K41" s="167"/>
    </row>
    <row r="42" spans="1:11" ht="30" x14ac:dyDescent="0.25">
      <c r="A42" s="168"/>
      <c r="B42" s="169"/>
      <c r="E42" s="168"/>
      <c r="F42" s="170"/>
      <c r="G42" s="167"/>
      <c r="H42" s="169"/>
      <c r="I42" s="170" t="s">
        <v>125</v>
      </c>
      <c r="J42" s="170" t="s">
        <v>126</v>
      </c>
      <c r="K42" s="170" t="s">
        <v>127</v>
      </c>
    </row>
    <row r="43" spans="1:11" ht="30" x14ac:dyDescent="0.25">
      <c r="A43" s="170" t="s">
        <v>31</v>
      </c>
      <c r="B43" s="170" t="s">
        <v>129</v>
      </c>
      <c r="E43" s="170"/>
      <c r="F43" s="171"/>
      <c r="G43" s="167"/>
      <c r="H43" s="170" t="s">
        <v>31</v>
      </c>
      <c r="I43" s="172" t="s">
        <v>130</v>
      </c>
      <c r="J43" s="171"/>
      <c r="K43" s="171"/>
    </row>
    <row r="44" spans="1:11" x14ac:dyDescent="0.25">
      <c r="A44" s="141" t="s">
        <v>80</v>
      </c>
      <c r="B44" s="183">
        <f>VLOOKUP(A44,'Opex Modelling Results'!$S$9:$T$21,2,FALSE)</f>
        <v>1</v>
      </c>
      <c r="E44" s="167"/>
      <c r="F44" s="167"/>
      <c r="G44" s="167"/>
      <c r="H44" s="141" t="str">
        <f>H6</f>
        <v>AND</v>
      </c>
      <c r="I44" s="174">
        <f>I6</f>
        <v>4.2918503456009172E-2</v>
      </c>
      <c r="J44" s="176">
        <f>$F$57/(1+I44)</f>
        <v>0.71913576901230558</v>
      </c>
      <c r="K44" s="176">
        <f>MAX((1- (VLOOKUP(H44,A44:B56,2,FALSE))/$J44),0)</f>
        <v>0.1380907491095007</v>
      </c>
    </row>
    <row r="45" spans="1:11" x14ac:dyDescent="0.25">
      <c r="A45" s="141" t="s">
        <v>65</v>
      </c>
      <c r="B45" s="183">
        <f>VLOOKUP(A45,'Opex Modelling Results'!$S$9:$T$21,2,FALSE)</f>
        <v>0.7988185942358651</v>
      </c>
      <c r="E45" s="167"/>
      <c r="F45" s="167"/>
      <c r="G45" s="167"/>
      <c r="H45" s="167"/>
      <c r="I45" s="167"/>
      <c r="J45" s="167"/>
      <c r="K45" s="167"/>
    </row>
    <row r="46" spans="1:11" x14ac:dyDescent="0.25">
      <c r="A46" s="141" t="s">
        <v>83</v>
      </c>
      <c r="B46" s="183">
        <f>VLOOKUP(A46,'Opex Modelling Results'!$S$9:$T$21,2,FALSE)</f>
        <v>0.79718915069482221</v>
      </c>
      <c r="E46" s="167"/>
      <c r="F46" s="167"/>
      <c r="G46" s="167"/>
      <c r="H46" s="167"/>
      <c r="I46" s="167"/>
      <c r="J46" s="167"/>
      <c r="K46" s="167"/>
    </row>
    <row r="47" spans="1:11" x14ac:dyDescent="0.25">
      <c r="A47" s="141" t="s">
        <v>88</v>
      </c>
      <c r="B47" s="183">
        <f>VLOOKUP(A47,'Opex Modelling Results'!$S$9:$T$21,2,FALSE)</f>
        <v>0.75524105692272114</v>
      </c>
      <c r="E47" s="167"/>
      <c r="F47" s="167"/>
      <c r="G47" s="167"/>
      <c r="H47" s="167"/>
      <c r="I47" s="167"/>
      <c r="J47" s="167"/>
      <c r="K47" s="167"/>
    </row>
    <row r="48" spans="1:11" x14ac:dyDescent="0.25">
      <c r="A48" s="141" t="s">
        <v>75</v>
      </c>
      <c r="B48" s="183">
        <f>VLOOKUP(A48,'Opex Modelling Results'!$S$9:$T$21,2,FALSE)</f>
        <v>0.75510572985098845</v>
      </c>
      <c r="E48" s="167"/>
      <c r="F48" s="167"/>
      <c r="G48" s="167"/>
      <c r="H48" s="167"/>
      <c r="I48" s="167"/>
      <c r="J48" s="167"/>
      <c r="K48" s="167"/>
    </row>
    <row r="49" spans="1:11" x14ac:dyDescent="0.25">
      <c r="A49" s="141" t="s">
        <v>90</v>
      </c>
      <c r="B49" s="183">
        <f>VLOOKUP(A49,'Opex Modelling Results'!$S$9:$T$21,2,FALSE)</f>
        <v>0.64528164408331024</v>
      </c>
      <c r="E49" s="167"/>
      <c r="F49" s="167"/>
      <c r="G49" s="167"/>
      <c r="H49" s="167"/>
      <c r="I49" s="167"/>
      <c r="J49" s="167"/>
      <c r="K49" s="167"/>
    </row>
    <row r="50" spans="1:11" x14ac:dyDescent="0.25">
      <c r="A50" s="141" t="s">
        <v>86</v>
      </c>
      <c r="B50" s="183">
        <f>VLOOKUP(A50,'Opex Modelling Results'!$S$9:$T$21,2,FALSE)</f>
        <v>0.61982977195795941</v>
      </c>
      <c r="E50" s="167"/>
      <c r="F50" s="167"/>
      <c r="G50" s="167"/>
      <c r="H50" s="167"/>
      <c r="I50" s="167"/>
      <c r="J50" s="167"/>
      <c r="K50" s="167"/>
    </row>
    <row r="51" spans="1:11" x14ac:dyDescent="0.25">
      <c r="A51" s="141" t="s">
        <v>72</v>
      </c>
      <c r="B51" s="183">
        <f>VLOOKUP(A51,'Opex Modelling Results'!$S$9:$T$21,2,FALSE)</f>
        <v>0.67674962811767103</v>
      </c>
      <c r="E51" s="167"/>
      <c r="F51" s="167"/>
      <c r="G51" s="167"/>
      <c r="H51" s="167"/>
      <c r="I51" s="167"/>
      <c r="J51" s="167"/>
      <c r="K51" s="167"/>
    </row>
    <row r="52" spans="1:11" x14ac:dyDescent="0.25">
      <c r="A52" s="141" t="s">
        <v>69</v>
      </c>
      <c r="B52" s="183">
        <f>VLOOKUP(A52,'Opex Modelling Results'!$S$9:$T$21,2,FALSE)</f>
        <v>0.59260156674323861</v>
      </c>
      <c r="E52" s="167"/>
      <c r="F52" s="167"/>
      <c r="G52" s="167"/>
      <c r="H52" s="167"/>
      <c r="I52" s="167"/>
      <c r="J52" s="167"/>
      <c r="K52" s="167"/>
    </row>
    <row r="53" spans="1:11" x14ac:dyDescent="0.25">
      <c r="A53" s="141" t="s">
        <v>67</v>
      </c>
      <c r="B53" s="183">
        <f>VLOOKUP(A53,'Opex Modelling Results'!$S$9:$T$21,2,FALSE)</f>
        <v>0.61728361064471871</v>
      </c>
      <c r="E53" s="167"/>
      <c r="F53" s="167"/>
      <c r="G53" s="167"/>
      <c r="H53" s="167"/>
      <c r="I53" s="167"/>
      <c r="J53" s="167"/>
      <c r="K53" s="167"/>
    </row>
    <row r="54" spans="1:11" x14ac:dyDescent="0.25">
      <c r="A54" s="141" t="s">
        <v>33</v>
      </c>
      <c r="B54" s="183">
        <f>VLOOKUP(A54,'Opex Modelling Results'!$S$9:$T$21,2,FALSE)</f>
        <v>0.49329120490565309</v>
      </c>
      <c r="E54" s="167"/>
      <c r="F54" s="167"/>
      <c r="G54" s="167"/>
      <c r="H54" s="167"/>
      <c r="I54" s="167"/>
      <c r="J54" s="167"/>
      <c r="K54" s="167"/>
    </row>
    <row r="55" spans="1:11" x14ac:dyDescent="0.25">
      <c r="A55" s="141" t="s">
        <v>63</v>
      </c>
      <c r="B55" s="183">
        <f>VLOOKUP(A55,'Opex Modelling Results'!$S$9:$T$21,2,FALSE)</f>
        <v>0.43834912371623103</v>
      </c>
      <c r="E55" s="167"/>
      <c r="F55" s="167"/>
      <c r="G55" s="167"/>
      <c r="H55" s="167"/>
      <c r="I55" s="167"/>
      <c r="J55" s="167"/>
      <c r="K55" s="167"/>
    </row>
    <row r="56" spans="1:11" x14ac:dyDescent="0.25">
      <c r="A56" s="141" t="s">
        <v>61</v>
      </c>
      <c r="B56" s="183">
        <f>VLOOKUP(A56,'Opex Modelling Results'!$S$9:$T$21,2,FALSE)</f>
        <v>0.41271982750195491</v>
      </c>
      <c r="E56" s="167"/>
      <c r="F56" s="167"/>
      <c r="G56" s="167"/>
      <c r="H56" s="167"/>
      <c r="I56" s="167"/>
      <c r="J56" s="167"/>
      <c r="K56" s="167"/>
    </row>
    <row r="57" spans="1:11" x14ac:dyDescent="0.25">
      <c r="A57" s="141"/>
      <c r="B57" s="167"/>
      <c r="E57" s="180" t="s">
        <v>134</v>
      </c>
      <c r="F57" s="181">
        <v>0.75</v>
      </c>
      <c r="G57" s="167"/>
      <c r="H57" s="167"/>
      <c r="I57" s="167"/>
      <c r="J57" s="167"/>
      <c r="K57" s="167"/>
    </row>
    <row r="58" spans="1:11" x14ac:dyDescent="0.25">
      <c r="A58" s="167"/>
      <c r="B58" s="167"/>
      <c r="E58" s="167"/>
      <c r="F58" s="167"/>
      <c r="G58" s="167"/>
      <c r="H58" s="167"/>
      <c r="I58" s="167"/>
      <c r="J58" s="167"/>
      <c r="K58" s="167"/>
    </row>
    <row r="59" spans="1:11" x14ac:dyDescent="0.25">
      <c r="A59" s="167"/>
      <c r="B59" s="167"/>
      <c r="E59" s="167"/>
      <c r="F59" s="167"/>
      <c r="G59" s="167"/>
      <c r="H59" s="167"/>
      <c r="I59" s="167"/>
      <c r="J59" s="167"/>
      <c r="K59" s="167"/>
    </row>
    <row r="60" spans="1:11" x14ac:dyDescent="0.25">
      <c r="A60" s="141" t="s">
        <v>132</v>
      </c>
      <c r="B60" s="167"/>
      <c r="E60" s="141" t="s">
        <v>124</v>
      </c>
      <c r="F60" s="167"/>
      <c r="G60" s="167"/>
      <c r="H60" s="167"/>
      <c r="I60" s="167"/>
      <c r="J60" s="167"/>
      <c r="K60" s="167"/>
    </row>
    <row r="61" spans="1:11" ht="30" x14ac:dyDescent="0.25">
      <c r="A61" s="168"/>
      <c r="B61" s="169"/>
      <c r="E61" s="168"/>
      <c r="F61" s="170"/>
      <c r="G61" s="167"/>
      <c r="H61" s="169"/>
      <c r="I61" s="170" t="s">
        <v>125</v>
      </c>
      <c r="J61" s="170" t="s">
        <v>126</v>
      </c>
      <c r="K61" s="170" t="s">
        <v>127</v>
      </c>
    </row>
    <row r="62" spans="1:11" ht="30" x14ac:dyDescent="0.25">
      <c r="A62" s="170" t="s">
        <v>31</v>
      </c>
      <c r="B62" s="170" t="s">
        <v>129</v>
      </c>
      <c r="E62" s="170"/>
      <c r="F62" s="171"/>
      <c r="G62" s="167"/>
      <c r="H62" s="170" t="s">
        <v>31</v>
      </c>
      <c r="I62" s="172" t="s">
        <v>130</v>
      </c>
      <c r="J62" s="171"/>
      <c r="K62" s="171"/>
    </row>
    <row r="63" spans="1:11" x14ac:dyDescent="0.25">
      <c r="A63" s="141" t="s">
        <v>80</v>
      </c>
      <c r="B63" s="183">
        <f>VLOOKUP(A63,'Opex Modelling Results'!$Z$9:$AA$21,2,FALSE)</f>
        <v>0.9424188</v>
      </c>
      <c r="E63" s="167"/>
      <c r="F63" s="167"/>
      <c r="G63" s="167"/>
      <c r="H63" s="141" t="str">
        <f>H6</f>
        <v>AND</v>
      </c>
      <c r="I63" s="174">
        <f>I25</f>
        <v>4.2918503456009172E-2</v>
      </c>
      <c r="J63" s="176">
        <f>$F$76/(1+I63)</f>
        <v>0.71913576901230558</v>
      </c>
      <c r="K63" s="176">
        <f>MAX((1- (VLOOKUP(H63,A63:B75,2,FALSE))/$J63),0)</f>
        <v>0.12069177025016042</v>
      </c>
    </row>
    <row r="64" spans="1:11" x14ac:dyDescent="0.25">
      <c r="A64" s="141" t="s">
        <v>65</v>
      </c>
      <c r="B64" s="183">
        <f>VLOOKUP(A64,'Opex Modelling Results'!$Z$9:$AA$21,2,FALSE)</f>
        <v>0.9187244</v>
      </c>
      <c r="E64" s="167"/>
      <c r="F64" s="167"/>
      <c r="G64" s="167"/>
      <c r="H64" s="167"/>
      <c r="I64" s="167"/>
      <c r="J64" s="167"/>
      <c r="K64" s="167"/>
    </row>
    <row r="65" spans="1:11" x14ac:dyDescent="0.25">
      <c r="A65" s="141" t="s">
        <v>90</v>
      </c>
      <c r="B65" s="183">
        <f>VLOOKUP(A65,'Opex Modelling Results'!$Z$9:$AA$21,2,FALSE)</f>
        <v>0.73570539999999995</v>
      </c>
      <c r="E65" s="167"/>
      <c r="F65" s="167"/>
      <c r="G65" s="167"/>
      <c r="H65" s="167"/>
      <c r="I65" s="167"/>
      <c r="J65" s="167"/>
      <c r="K65" s="167"/>
    </row>
    <row r="66" spans="1:11" x14ac:dyDescent="0.25">
      <c r="A66" s="141" t="s">
        <v>83</v>
      </c>
      <c r="B66" s="183">
        <f>VLOOKUP(A66,'Opex Modelling Results'!$Z$9:$AA$21,2,FALSE)</f>
        <v>0.78548839999999998</v>
      </c>
      <c r="E66" s="167"/>
      <c r="F66" s="167"/>
      <c r="G66" s="167"/>
      <c r="H66" s="167"/>
      <c r="I66" s="167"/>
      <c r="J66" s="167"/>
      <c r="K66" s="167"/>
    </row>
    <row r="67" spans="1:11" x14ac:dyDescent="0.25">
      <c r="A67" s="141" t="s">
        <v>88</v>
      </c>
      <c r="B67" s="183">
        <f>VLOOKUP(A67,'Opex Modelling Results'!$Z$9:$AA$21,2,FALSE)</f>
        <v>0.75810809999999995</v>
      </c>
      <c r="E67" s="167"/>
      <c r="F67" s="167"/>
      <c r="G67" s="167"/>
      <c r="H67" s="167"/>
      <c r="I67" s="167"/>
      <c r="J67" s="167"/>
      <c r="K67" s="167"/>
    </row>
    <row r="68" spans="1:11" x14ac:dyDescent="0.25">
      <c r="A68" s="141" t="s">
        <v>75</v>
      </c>
      <c r="B68" s="183">
        <f>VLOOKUP(A68,'Opex Modelling Results'!$Z$9:$AA$21,2,FALSE)</f>
        <v>0.74786960000000002</v>
      </c>
      <c r="E68" s="167"/>
      <c r="F68" s="167"/>
      <c r="G68" s="167"/>
      <c r="H68" s="167"/>
      <c r="I68" s="167"/>
      <c r="J68" s="167"/>
      <c r="K68" s="167"/>
    </row>
    <row r="69" spans="1:11" x14ac:dyDescent="0.25">
      <c r="A69" s="141" t="s">
        <v>86</v>
      </c>
      <c r="B69" s="183">
        <f>VLOOKUP(A69,'Opex Modelling Results'!$Z$9:$AA$21,2,FALSE)</f>
        <v>0.63234199999999996</v>
      </c>
      <c r="E69" s="167"/>
      <c r="F69" s="167"/>
      <c r="G69" s="167"/>
      <c r="H69" s="167"/>
      <c r="I69" s="167"/>
      <c r="J69" s="167"/>
      <c r="K69" s="167"/>
    </row>
    <row r="70" spans="1:11" x14ac:dyDescent="0.25">
      <c r="A70" s="141" t="s">
        <v>69</v>
      </c>
      <c r="B70" s="183">
        <f>VLOOKUP(A70,'Opex Modelling Results'!$Z$9:$AA$21,2,FALSE)</f>
        <v>0.60324129999999998</v>
      </c>
      <c r="E70" s="167"/>
      <c r="F70" s="167"/>
      <c r="G70" s="167"/>
      <c r="H70" s="167"/>
      <c r="I70" s="167"/>
      <c r="J70" s="167"/>
      <c r="K70" s="167"/>
    </row>
    <row r="71" spans="1:11" x14ac:dyDescent="0.25">
      <c r="A71" s="141" t="s">
        <v>72</v>
      </c>
      <c r="B71" s="183">
        <f>VLOOKUP(A71,'Opex Modelling Results'!$Z$9:$AA$21,2,FALSE)</f>
        <v>0.65688349999999995</v>
      </c>
      <c r="E71" s="167"/>
      <c r="F71" s="167"/>
      <c r="G71" s="167"/>
      <c r="H71" s="167"/>
      <c r="I71" s="167"/>
      <c r="J71" s="167"/>
      <c r="K71" s="167"/>
    </row>
    <row r="72" spans="1:11" x14ac:dyDescent="0.25">
      <c r="A72" s="141" t="s">
        <v>67</v>
      </c>
      <c r="B72" s="183">
        <f>VLOOKUP(A72,'Opex Modelling Results'!$Z$9:$AA$21,2,FALSE)</f>
        <v>0.60816099999999995</v>
      </c>
      <c r="E72" s="167"/>
      <c r="F72" s="167"/>
      <c r="G72" s="167"/>
      <c r="H72" s="167"/>
      <c r="I72" s="167"/>
      <c r="J72" s="167"/>
      <c r="K72" s="167"/>
    </row>
    <row r="73" spans="1:11" x14ac:dyDescent="0.25">
      <c r="A73" s="141" t="s">
        <v>33</v>
      </c>
      <c r="B73" s="183">
        <f>VLOOKUP(A73,'Opex Modelling Results'!$Z$9:$AA$21,2,FALSE)</f>
        <v>0.5875148</v>
      </c>
      <c r="E73" s="167"/>
      <c r="F73" s="167"/>
      <c r="G73" s="167"/>
      <c r="H73" s="167"/>
      <c r="I73" s="167"/>
      <c r="J73" s="167"/>
      <c r="K73" s="167"/>
    </row>
    <row r="74" spans="1:11" x14ac:dyDescent="0.25">
      <c r="A74" s="141" t="s">
        <v>63</v>
      </c>
      <c r="B74" s="183">
        <f>VLOOKUP(A74,'Opex Modelling Results'!$Z$9:$AA$21,2,FALSE)</f>
        <v>0.46405489999999999</v>
      </c>
      <c r="E74" s="167"/>
      <c r="F74" s="167"/>
      <c r="G74" s="167"/>
      <c r="H74" s="167"/>
      <c r="I74" s="167"/>
      <c r="J74" s="167"/>
      <c r="K74" s="167"/>
    </row>
    <row r="75" spans="1:11" x14ac:dyDescent="0.25">
      <c r="A75" s="141" t="s">
        <v>61</v>
      </c>
      <c r="B75" s="183">
        <f>VLOOKUP(A75,'Opex Modelling Results'!$Z$9:$AA$21,2,FALSE)</f>
        <v>0.47104509999999999</v>
      </c>
      <c r="E75" s="167"/>
      <c r="F75" s="167"/>
      <c r="G75" s="167"/>
      <c r="H75" s="167"/>
      <c r="I75" s="167"/>
      <c r="J75" s="167"/>
      <c r="K75" s="167"/>
    </row>
    <row r="76" spans="1:11" x14ac:dyDescent="0.25">
      <c r="E76" s="180" t="s">
        <v>134</v>
      </c>
      <c r="F76" s="181">
        <v>0.75</v>
      </c>
      <c r="G76" s="167"/>
      <c r="H76" s="167"/>
      <c r="I76" s="167"/>
      <c r="J76" s="167"/>
      <c r="K76" s="167"/>
    </row>
    <row r="79" spans="1:11" x14ac:dyDescent="0.25">
      <c r="A79" s="205"/>
      <c r="B79" s="2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A13" workbookViewId="0">
      <selection activeCell="T34" sqref="T34"/>
    </sheetView>
  </sheetViews>
  <sheetFormatPr defaultRowHeight="15" x14ac:dyDescent="0.25"/>
  <cols>
    <col min="1" max="1" width="64.7109375" bestFit="1" customWidth="1"/>
    <col min="2" max="2" width="16.42578125" bestFit="1" customWidth="1"/>
    <col min="8" max="8" width="16.140625" bestFit="1" customWidth="1"/>
  </cols>
  <sheetData>
    <row r="1" spans="1:24" x14ac:dyDescent="0.25">
      <c r="A1" s="131" t="str">
        <f>Inputs!C3&amp;" Opex – Base Opex – Using RIN Data and Estimated Opex Cost Functions"</f>
        <v>AND Opex – Base Opex – Using RIN Data and Estimated Opex Cost Functions</v>
      </c>
      <c r="B1" s="132"/>
      <c r="C1" s="132"/>
      <c r="D1" s="132"/>
      <c r="E1" s="132"/>
      <c r="F1" s="132"/>
      <c r="G1" s="132"/>
      <c r="H1" s="137"/>
      <c r="I1" s="132"/>
      <c r="J1" s="132" t="s">
        <v>156</v>
      </c>
      <c r="K1" s="132"/>
      <c r="L1" s="132"/>
      <c r="M1" s="132"/>
      <c r="N1" s="137"/>
      <c r="O1" s="132"/>
      <c r="P1" s="132"/>
      <c r="Q1" s="132"/>
      <c r="R1" s="132"/>
      <c r="S1" s="132"/>
      <c r="T1" s="137"/>
      <c r="U1" s="132"/>
      <c r="V1" s="132"/>
      <c r="W1" s="132"/>
      <c r="X1" s="132"/>
    </row>
    <row r="2" spans="1:24" x14ac:dyDescent="0.25">
      <c r="A2" s="131"/>
      <c r="B2" s="132"/>
      <c r="C2" s="132"/>
      <c r="D2" s="132"/>
      <c r="E2" s="132"/>
      <c r="F2" s="132"/>
      <c r="G2" s="132"/>
      <c r="H2" s="137"/>
      <c r="I2" s="132"/>
      <c r="J2" s="132"/>
      <c r="K2" s="132"/>
      <c r="L2" s="132"/>
      <c r="M2" s="132"/>
      <c r="N2" s="137"/>
      <c r="O2" s="132"/>
      <c r="P2" s="132"/>
      <c r="Q2" s="132"/>
      <c r="R2" s="132"/>
      <c r="S2" s="132"/>
      <c r="T2" s="137"/>
      <c r="U2" s="132"/>
      <c r="V2" s="132"/>
      <c r="W2" s="132"/>
      <c r="X2" s="132"/>
    </row>
    <row r="3" spans="1:24" x14ac:dyDescent="0.25">
      <c r="A3" s="132"/>
      <c r="B3" s="141" t="str">
        <f>'Opex Modelling Results'!A4</f>
        <v xml:space="preserve">Cobb-Douglas SFA </v>
      </c>
      <c r="C3" s="132"/>
      <c r="D3" s="132"/>
      <c r="E3" s="132"/>
      <c r="F3" s="132"/>
      <c r="G3" s="132"/>
      <c r="H3" s="142" t="str">
        <f>'Opex Modelling Results'!H4</f>
        <v xml:space="preserve">Cobb-Douglas LSE </v>
      </c>
      <c r="I3" s="132"/>
      <c r="J3" s="132"/>
      <c r="K3" s="132"/>
      <c r="L3" s="132"/>
      <c r="M3" s="132"/>
      <c r="N3" s="142" t="str">
        <f>'Opex Modelling Results'!O4</f>
        <v>Translog LSE</v>
      </c>
      <c r="O3" s="132"/>
      <c r="P3" s="132"/>
      <c r="Q3" s="132"/>
      <c r="R3" s="132"/>
      <c r="S3" s="132"/>
      <c r="T3" s="142" t="str">
        <f>'Opex Modelling Results'!V4</f>
        <v xml:space="preserve">Translog SFA </v>
      </c>
      <c r="U3" s="132"/>
      <c r="V3" s="132"/>
      <c r="W3" s="132"/>
      <c r="X3" s="132"/>
    </row>
    <row r="4" spans="1:24" x14ac:dyDescent="0.25">
      <c r="A4" s="131"/>
      <c r="B4" s="132"/>
      <c r="C4" s="132"/>
      <c r="D4" s="132"/>
      <c r="E4" s="132"/>
      <c r="F4" s="132"/>
      <c r="G4" s="132"/>
      <c r="H4" s="137"/>
      <c r="I4" s="132"/>
      <c r="J4" s="132"/>
      <c r="K4" s="132"/>
      <c r="L4" s="132"/>
      <c r="M4" s="132"/>
      <c r="N4" s="137"/>
      <c r="O4" s="132"/>
      <c r="P4" s="132"/>
      <c r="Q4" s="132"/>
      <c r="R4" s="132"/>
      <c r="S4" s="132"/>
      <c r="T4" s="137"/>
      <c r="U4" s="132"/>
      <c r="V4" s="132"/>
      <c r="W4" s="132"/>
      <c r="X4" s="132"/>
    </row>
    <row r="5" spans="1:24" x14ac:dyDescent="0.25">
      <c r="A5" s="131" t="s">
        <v>136</v>
      </c>
      <c r="B5" s="143" t="s">
        <v>149</v>
      </c>
      <c r="C5" s="131" t="s">
        <v>150</v>
      </c>
      <c r="D5" s="131"/>
      <c r="E5" s="141" t="s">
        <v>153</v>
      </c>
      <c r="F5" s="132"/>
      <c r="G5" s="132"/>
      <c r="H5" s="138" t="s">
        <v>149</v>
      </c>
      <c r="I5" s="131" t="s">
        <v>150</v>
      </c>
      <c r="J5" s="131"/>
      <c r="K5" s="141" t="s">
        <v>153</v>
      </c>
      <c r="L5" s="132"/>
      <c r="M5" s="132"/>
      <c r="N5" s="138" t="s">
        <v>149</v>
      </c>
      <c r="O5" s="131" t="s">
        <v>150</v>
      </c>
      <c r="P5" s="131"/>
      <c r="Q5" s="141" t="s">
        <v>153</v>
      </c>
      <c r="R5" s="132"/>
      <c r="S5" s="132"/>
      <c r="T5" s="138" t="s">
        <v>149</v>
      </c>
      <c r="U5" s="131" t="s">
        <v>150</v>
      </c>
      <c r="V5" s="131"/>
      <c r="W5" s="141" t="s">
        <v>153</v>
      </c>
      <c r="X5" s="132"/>
    </row>
    <row r="6" spans="1:24" x14ac:dyDescent="0.25">
      <c r="A6" s="133" t="s">
        <v>106</v>
      </c>
      <c r="B6" s="144">
        <f>'Opex Modelling Results'!B10</f>
        <v>0.66222610000000004</v>
      </c>
      <c r="C6" s="145">
        <f>B6/SUM(B$6:B$8)</f>
        <v>0.67283755565779013</v>
      </c>
      <c r="D6" s="146"/>
      <c r="E6" s="132" t="str">
        <f>Inputs!C3</f>
        <v>AND</v>
      </c>
      <c r="F6" s="147">
        <f>'Efficiency Target Option'!K6</f>
        <v>4.4044769259368621E-2</v>
      </c>
      <c r="G6" s="132"/>
      <c r="H6" s="148">
        <f>'Opex Modelling Results'!I10</f>
        <v>0.68456289999999997</v>
      </c>
      <c r="I6" s="145">
        <f>H6/SUM(H$6:H$8)</f>
        <v>0.68698548561647799</v>
      </c>
      <c r="J6" s="146"/>
      <c r="K6" s="132" t="str">
        <f>E6</f>
        <v>AND</v>
      </c>
      <c r="L6" s="147">
        <f>'Efficiency Target Option'!K25</f>
        <v>2.5883420720240968E-2</v>
      </c>
      <c r="M6" s="132"/>
      <c r="N6" s="148">
        <f>'Opex Modelling Results'!P10</f>
        <v>0.4434707</v>
      </c>
      <c r="O6" s="145">
        <f>N6/SUM(N$6:N$8)</f>
        <v>0.45704874996895262</v>
      </c>
      <c r="P6" s="146"/>
      <c r="Q6" s="132" t="str">
        <f>K6</f>
        <v>AND</v>
      </c>
      <c r="R6" s="147">
        <f>'Efficiency Target Option'!K44</f>
        <v>0.1380907491095007</v>
      </c>
      <c r="S6" s="132"/>
      <c r="T6" s="148">
        <f>'Opex Modelling Results'!W10</f>
        <v>0.58762590000000003</v>
      </c>
      <c r="U6" s="145">
        <f>T6/SUM(T$6:T$8)</f>
        <v>0.60420846165085385</v>
      </c>
      <c r="V6" s="146"/>
      <c r="W6" s="132" t="str">
        <f>Q6</f>
        <v>AND</v>
      </c>
      <c r="X6" s="147">
        <f>'Efficiency Target Option'!K63</f>
        <v>0.12069177025016042</v>
      </c>
    </row>
    <row r="7" spans="1:24" x14ac:dyDescent="0.25">
      <c r="A7" s="133" t="s">
        <v>105</v>
      </c>
      <c r="B7" s="144">
        <f>'Opex Modelling Results'!B11</f>
        <v>0.21734829999999999</v>
      </c>
      <c r="C7" s="145">
        <f>B7/SUM(B$6:B$8)</f>
        <v>0.22083107098674615</v>
      </c>
      <c r="D7" s="146"/>
      <c r="E7" s="146"/>
      <c r="F7" s="146"/>
      <c r="G7" s="146"/>
      <c r="H7" s="148">
        <f>'Opex Modelling Results'!I11</f>
        <v>0.17842150000000001</v>
      </c>
      <c r="I7" s="145">
        <f>H7/SUM(H$6:H$8)</f>
        <v>0.17905291218954522</v>
      </c>
      <c r="J7" s="146"/>
      <c r="K7" s="146"/>
      <c r="L7" s="146"/>
      <c r="M7" s="146"/>
      <c r="N7" s="148">
        <f>'Opex Modelling Results'!P11</f>
        <v>0.19498370000000001</v>
      </c>
      <c r="O7" s="145">
        <f>N7/SUM(N$6:N$8)</f>
        <v>0.20095365116414968</v>
      </c>
      <c r="P7" s="146"/>
      <c r="Q7" s="146"/>
      <c r="R7" s="146"/>
      <c r="S7" s="146"/>
      <c r="T7" s="148">
        <f>'Opex Modelling Results'!W11</f>
        <v>0.20179810000000001</v>
      </c>
      <c r="U7" s="145">
        <f>T7/SUM(T$6:T$8)</f>
        <v>0.20749275953470597</v>
      </c>
      <c r="V7" s="146"/>
      <c r="W7" s="146"/>
      <c r="X7" s="146"/>
    </row>
    <row r="8" spans="1:24" x14ac:dyDescent="0.25">
      <c r="A8" s="133" t="s">
        <v>104</v>
      </c>
      <c r="B8" s="144">
        <f>'Opex Modelling Results'!B12</f>
        <v>0.10465439999999999</v>
      </c>
      <c r="C8" s="145">
        <f>B8/SUM(B$6:B$8)</f>
        <v>0.10633137335546367</v>
      </c>
      <c r="D8" s="146"/>
      <c r="E8" s="146"/>
      <c r="F8" s="146"/>
      <c r="G8" s="149"/>
      <c r="H8" s="148">
        <f>'Opex Modelling Results'!I12</f>
        <v>0.1334892</v>
      </c>
      <c r="I8" s="145">
        <f>H8/SUM(H$6:H$8)</f>
        <v>0.13396160219397685</v>
      </c>
      <c r="J8" s="146"/>
      <c r="K8" s="146"/>
      <c r="L8" s="146"/>
      <c r="M8" s="149"/>
      <c r="N8" s="148">
        <f>'Opex Modelling Results'!P12</f>
        <v>0.33183750000000001</v>
      </c>
      <c r="O8" s="145">
        <f>N8/SUM(N$6:N$8)</f>
        <v>0.34199759886689768</v>
      </c>
      <c r="P8" s="146"/>
      <c r="Q8" s="146"/>
      <c r="R8" s="146"/>
      <c r="S8" s="149"/>
      <c r="T8" s="148">
        <f>'Opex Modelling Results'!W12</f>
        <v>0.18313090000000001</v>
      </c>
      <c r="U8" s="145">
        <f>T8/SUM(T$6:T$8)</f>
        <v>0.18829877881444021</v>
      </c>
      <c r="V8" s="146"/>
      <c r="W8" s="146"/>
      <c r="X8" s="146"/>
    </row>
    <row r="9" spans="1:24" x14ac:dyDescent="0.25">
      <c r="A9" s="133" t="s">
        <v>103</v>
      </c>
      <c r="B9" s="144">
        <f>'Opex Modelling Results'!B13</f>
        <v>-8.4177299999999997E-2</v>
      </c>
      <c r="C9" s="132"/>
      <c r="D9" s="132"/>
      <c r="E9" s="132"/>
      <c r="F9" s="132"/>
      <c r="G9" s="149"/>
      <c r="H9" s="148">
        <f>'Opex Modelling Results'!I13</f>
        <v>-0.16082579999999999</v>
      </c>
      <c r="I9" s="132"/>
      <c r="J9" s="132"/>
      <c r="K9" s="132"/>
      <c r="L9" s="132"/>
      <c r="M9" s="149"/>
      <c r="N9" s="148">
        <f>'Opex Modelling Results'!P19</f>
        <v>-0.12876029999999999</v>
      </c>
      <c r="O9" s="132"/>
      <c r="P9" s="132"/>
      <c r="Q9" s="132"/>
      <c r="R9" s="132"/>
      <c r="S9" s="149"/>
      <c r="T9" s="148">
        <f>'Opex Modelling Results'!W19</f>
        <v>-5.4162399999999999E-2</v>
      </c>
      <c r="U9" s="132"/>
      <c r="V9" s="132"/>
      <c r="W9" s="132"/>
      <c r="X9" s="132"/>
    </row>
    <row r="10" spans="1:24" x14ac:dyDescent="0.25">
      <c r="A10" s="133" t="s">
        <v>137</v>
      </c>
      <c r="B10" s="144">
        <f>'Opex Modelling Results'!B14</f>
        <v>1.0208699999999999E-2</v>
      </c>
      <c r="C10" s="132"/>
      <c r="D10" s="132"/>
      <c r="E10" s="132"/>
      <c r="F10" s="132"/>
      <c r="G10" s="132"/>
      <c r="H10" s="148">
        <f>'Opex Modelling Results'!I14</f>
        <v>1.1357000000000001E-2</v>
      </c>
      <c r="I10" s="132"/>
      <c r="J10" s="132"/>
      <c r="K10" s="132"/>
      <c r="L10" s="132"/>
      <c r="M10" s="132"/>
      <c r="N10" s="148">
        <f>'Opex Modelling Results'!P20</f>
        <v>1.36501E-2</v>
      </c>
      <c r="O10" s="132"/>
      <c r="P10" s="132"/>
      <c r="Q10" s="132"/>
      <c r="R10" s="132"/>
      <c r="S10" s="132"/>
      <c r="T10" s="148">
        <f>'Opex Modelling Results'!W20</f>
        <v>1.07437E-2</v>
      </c>
      <c r="U10" s="132"/>
      <c r="V10" s="132"/>
      <c r="W10" s="132"/>
      <c r="X10" s="132"/>
    </row>
    <row r="11" spans="1:24" x14ac:dyDescent="0.25">
      <c r="A11" s="132"/>
      <c r="B11" s="146"/>
      <c r="C11" s="132"/>
      <c r="D11" s="132"/>
      <c r="E11" s="132"/>
      <c r="F11" s="132"/>
      <c r="G11" s="132"/>
      <c r="H11" s="150"/>
      <c r="I11" s="132"/>
      <c r="J11" s="132"/>
      <c r="K11" s="132"/>
      <c r="L11" s="132"/>
      <c r="M11" s="132"/>
      <c r="N11" s="150"/>
      <c r="O11" s="132"/>
      <c r="P11" s="132"/>
      <c r="Q11" s="132"/>
      <c r="R11" s="132"/>
      <c r="S11" s="132"/>
      <c r="T11" s="150"/>
      <c r="U11" s="132"/>
      <c r="V11" s="132"/>
      <c r="W11" s="132"/>
      <c r="X11" s="132"/>
    </row>
    <row r="12" spans="1:24" x14ac:dyDescent="0.25">
      <c r="A12" s="131" t="s">
        <v>138</v>
      </c>
      <c r="B12" s="132"/>
      <c r="C12" s="143"/>
      <c r="D12" s="143"/>
      <c r="E12" s="143"/>
      <c r="F12" s="143"/>
      <c r="G12" s="132"/>
      <c r="H12" s="137"/>
      <c r="I12" s="143"/>
      <c r="J12" s="143"/>
      <c r="K12" s="143"/>
      <c r="L12" s="143"/>
      <c r="M12" s="132"/>
      <c r="N12" s="137"/>
      <c r="O12" s="143"/>
      <c r="P12" s="143"/>
      <c r="Q12" s="143"/>
      <c r="R12" s="143"/>
      <c r="S12" s="132"/>
      <c r="T12" s="137"/>
      <c r="U12" s="143"/>
      <c r="V12" s="143"/>
      <c r="W12" s="143"/>
      <c r="X12" s="143"/>
    </row>
    <row r="13" spans="1:24" x14ac:dyDescent="0.25">
      <c r="A13" s="132"/>
      <c r="B13" s="132"/>
      <c r="C13" s="151"/>
      <c r="D13" s="151"/>
      <c r="E13" s="151">
        <v>2018</v>
      </c>
      <c r="F13" s="132"/>
      <c r="G13" s="132"/>
      <c r="H13" s="137"/>
      <c r="I13" s="151"/>
      <c r="J13" s="151"/>
      <c r="K13" s="151">
        <v>2018</v>
      </c>
      <c r="L13" s="132"/>
      <c r="M13" s="132"/>
      <c r="N13" s="137"/>
      <c r="O13" s="151"/>
      <c r="P13" s="151"/>
      <c r="Q13" s="151">
        <v>2018</v>
      </c>
      <c r="R13" s="132"/>
      <c r="S13" s="132"/>
      <c r="T13" s="137"/>
      <c r="U13" s="151"/>
      <c r="V13" s="151"/>
      <c r="W13" s="151">
        <v>2018</v>
      </c>
      <c r="X13" s="132"/>
    </row>
    <row r="14" spans="1:24" x14ac:dyDescent="0.25">
      <c r="A14" s="133" t="s">
        <v>106</v>
      </c>
      <c r="B14" s="133"/>
      <c r="C14" s="143"/>
      <c r="D14" s="143"/>
      <c r="E14" s="152">
        <f>'Cost Drivers'!P21</f>
        <v>5.1768229890706188E-2</v>
      </c>
      <c r="F14" s="132"/>
      <c r="G14" s="132"/>
      <c r="H14" s="153"/>
      <c r="I14" s="143"/>
      <c r="J14" s="143"/>
      <c r="K14" s="152">
        <f t="shared" ref="K14:K18" si="0">E14</f>
        <v>5.1768229890706188E-2</v>
      </c>
      <c r="L14" s="132"/>
      <c r="M14" s="132"/>
      <c r="N14" s="153"/>
      <c r="O14" s="143"/>
      <c r="P14" s="143"/>
      <c r="Q14" s="152">
        <f t="shared" ref="Q14:Q16" si="1">K14</f>
        <v>5.1768229890706188E-2</v>
      </c>
      <c r="R14" s="132"/>
      <c r="S14" s="132"/>
      <c r="T14" s="153"/>
      <c r="U14" s="143"/>
      <c r="V14" s="143"/>
      <c r="W14" s="152">
        <f t="shared" ref="W14:W16" si="2">Q14</f>
        <v>5.1768229890706188E-2</v>
      </c>
      <c r="X14" s="132"/>
    </row>
    <row r="15" spans="1:24" x14ac:dyDescent="0.25">
      <c r="A15" s="133" t="s">
        <v>105</v>
      </c>
      <c r="B15" s="133"/>
      <c r="C15" s="143"/>
      <c r="D15" s="143"/>
      <c r="E15" s="152">
        <f>'Cost Drivers'!P22</f>
        <v>1.5793629986713641E-2</v>
      </c>
      <c r="F15" s="132"/>
      <c r="G15" s="132"/>
      <c r="H15" s="153"/>
      <c r="I15" s="143"/>
      <c r="J15" s="143"/>
      <c r="K15" s="152">
        <f t="shared" si="0"/>
        <v>1.5793629986713641E-2</v>
      </c>
      <c r="L15" s="132"/>
      <c r="M15" s="132"/>
      <c r="N15" s="153"/>
      <c r="O15" s="143"/>
      <c r="P15" s="143"/>
      <c r="Q15" s="152">
        <f t="shared" si="1"/>
        <v>1.5793629986713641E-2</v>
      </c>
      <c r="R15" s="132"/>
      <c r="S15" s="132"/>
      <c r="T15" s="153"/>
      <c r="U15" s="143"/>
      <c r="V15" s="143"/>
      <c r="W15" s="152">
        <f t="shared" si="2"/>
        <v>1.5793629986713641E-2</v>
      </c>
      <c r="X15" s="132"/>
    </row>
    <row r="16" spans="1:24" x14ac:dyDescent="0.25">
      <c r="A16" s="133" t="s">
        <v>104</v>
      </c>
      <c r="B16" s="133"/>
      <c r="C16" s="143"/>
      <c r="D16" s="143"/>
      <c r="E16" s="152">
        <f>'Cost Drivers'!P23</f>
        <v>3.3624809996040277E-3</v>
      </c>
      <c r="F16" s="132"/>
      <c r="G16" s="132"/>
      <c r="H16" s="153"/>
      <c r="I16" s="143"/>
      <c r="J16" s="143"/>
      <c r="K16" s="152">
        <f t="shared" si="0"/>
        <v>3.3624809996040277E-3</v>
      </c>
      <c r="L16" s="132"/>
      <c r="M16" s="132"/>
      <c r="N16" s="153"/>
      <c r="O16" s="143"/>
      <c r="P16" s="143"/>
      <c r="Q16" s="152">
        <f t="shared" si="1"/>
        <v>3.3624809996040277E-3</v>
      </c>
      <c r="R16" s="132"/>
      <c r="S16" s="132"/>
      <c r="T16" s="153"/>
      <c r="U16" s="143"/>
      <c r="V16" s="143"/>
      <c r="W16" s="152">
        <f t="shared" si="2"/>
        <v>3.3624809996040277E-3</v>
      </c>
      <c r="X16" s="132"/>
    </row>
    <row r="17" spans="1:24" x14ac:dyDescent="0.25">
      <c r="A17" s="131" t="s">
        <v>139</v>
      </c>
      <c r="B17" s="131"/>
      <c r="C17" s="143"/>
      <c r="D17" s="143"/>
      <c r="E17" s="154">
        <f>$C6*E14+$C7*E15+$C8*E16</f>
        <v>3.8676870707697208E-2</v>
      </c>
      <c r="F17" s="132"/>
      <c r="G17" s="131"/>
      <c r="H17" s="136"/>
      <c r="I17" s="143"/>
      <c r="J17" s="143"/>
      <c r="K17" s="154">
        <f>$I6*K14+$I7*K15+$I8*K16</f>
        <v>3.8842361336191226E-2</v>
      </c>
      <c r="L17" s="132"/>
      <c r="M17" s="131"/>
      <c r="N17" s="136"/>
      <c r="O17" s="143"/>
      <c r="P17" s="143"/>
      <c r="Q17" s="154">
        <f>$O6*Q14+$O7*Q15+$O8*Q16</f>
        <v>2.7984352798718481E-2</v>
      </c>
      <c r="R17" s="132"/>
      <c r="S17" s="131"/>
      <c r="T17" s="136"/>
      <c r="U17" s="143"/>
      <c r="V17" s="143"/>
      <c r="W17" s="154">
        <f>$U6*W14+$U7*W15+$U8*W16</f>
        <v>3.5189017479676822E-2</v>
      </c>
      <c r="X17" s="132"/>
    </row>
    <row r="18" spans="1:24" x14ac:dyDescent="0.25">
      <c r="A18" s="133" t="s">
        <v>103</v>
      </c>
      <c r="B18" s="133"/>
      <c r="C18" s="143"/>
      <c r="D18" s="143"/>
      <c r="E18" s="152">
        <f>'Cost Drivers'!P24</f>
        <v>0.11966839523540251</v>
      </c>
      <c r="F18" s="132"/>
      <c r="G18" s="132"/>
      <c r="H18" s="153"/>
      <c r="I18" s="143"/>
      <c r="J18" s="143"/>
      <c r="K18" s="152">
        <f t="shared" si="0"/>
        <v>0.11966839523540251</v>
      </c>
      <c r="L18" s="132"/>
      <c r="M18" s="132"/>
      <c r="N18" s="153"/>
      <c r="O18" s="143"/>
      <c r="P18" s="143"/>
      <c r="Q18" s="152">
        <f t="shared" ref="Q18" si="3">K18</f>
        <v>0.11966839523540251</v>
      </c>
      <c r="R18" s="132"/>
      <c r="S18" s="132"/>
      <c r="T18" s="153"/>
      <c r="U18" s="143"/>
      <c r="V18" s="143"/>
      <c r="W18" s="152">
        <f t="shared" ref="W18" si="4">Q18</f>
        <v>0.11966839523540251</v>
      </c>
      <c r="X18" s="132"/>
    </row>
    <row r="19" spans="1:24" x14ac:dyDescent="0.25">
      <c r="A19" s="132"/>
      <c r="B19" s="132"/>
      <c r="C19" s="132"/>
      <c r="D19" s="132"/>
      <c r="E19" s="132"/>
      <c r="F19" s="132"/>
      <c r="G19" s="132"/>
      <c r="H19" s="137"/>
      <c r="I19" s="143"/>
      <c r="J19" s="143"/>
      <c r="K19" s="143"/>
      <c r="L19" s="132"/>
      <c r="M19" s="132"/>
      <c r="N19" s="137"/>
      <c r="O19" s="143"/>
      <c r="P19" s="143"/>
      <c r="Q19" s="143"/>
      <c r="R19" s="132"/>
      <c r="S19" s="132"/>
      <c r="T19" s="137"/>
      <c r="U19" s="143"/>
      <c r="V19" s="143"/>
      <c r="W19" s="143"/>
      <c r="X19" s="132"/>
    </row>
    <row r="20" spans="1:24" x14ac:dyDescent="0.25">
      <c r="A20" s="131" t="s">
        <v>140</v>
      </c>
      <c r="B20" s="131"/>
      <c r="C20" s="131"/>
      <c r="D20" s="131"/>
      <c r="E20" s="132"/>
      <c r="F20" s="132"/>
      <c r="G20" s="132"/>
      <c r="H20" s="136"/>
      <c r="I20" s="143"/>
      <c r="J20" s="143"/>
      <c r="K20" s="143"/>
      <c r="L20" s="132"/>
      <c r="M20" s="132"/>
      <c r="N20" s="136"/>
      <c r="O20" s="143"/>
      <c r="P20" s="143"/>
      <c r="Q20" s="143"/>
      <c r="R20" s="132"/>
      <c r="S20" s="132"/>
      <c r="T20" s="136"/>
      <c r="U20" s="143"/>
      <c r="V20" s="143"/>
      <c r="W20" s="143"/>
      <c r="X20" s="132"/>
    </row>
    <row r="21" spans="1:24" x14ac:dyDescent="0.25">
      <c r="A21" s="131"/>
      <c r="B21" s="131"/>
      <c r="C21" s="131" t="s">
        <v>151</v>
      </c>
      <c r="D21" s="131" t="s">
        <v>152</v>
      </c>
      <c r="E21" s="131" t="s">
        <v>154</v>
      </c>
      <c r="F21" s="132"/>
      <c r="G21" s="132"/>
      <c r="H21" s="136"/>
      <c r="I21" s="131" t="s">
        <v>151</v>
      </c>
      <c r="J21" s="131" t="s">
        <v>152</v>
      </c>
      <c r="K21" s="131" t="s">
        <v>154</v>
      </c>
      <c r="L21" s="132"/>
      <c r="M21" s="132"/>
      <c r="N21" s="136"/>
      <c r="O21" s="131" t="s">
        <v>151</v>
      </c>
      <c r="P21" s="131" t="s">
        <v>152</v>
      </c>
      <c r="Q21" s="131" t="s">
        <v>154</v>
      </c>
      <c r="R21" s="132"/>
      <c r="S21" s="132"/>
      <c r="T21" s="136"/>
      <c r="U21" s="131" t="s">
        <v>151</v>
      </c>
      <c r="V21" s="131" t="s">
        <v>152</v>
      </c>
      <c r="W21" s="131" t="s">
        <v>154</v>
      </c>
      <c r="X21" s="132"/>
    </row>
    <row r="22" spans="1:24" x14ac:dyDescent="0.25">
      <c r="A22" s="132"/>
      <c r="B22" s="132"/>
      <c r="C22" s="155">
        <f>Inputs!$C$5</f>
        <v>2012</v>
      </c>
      <c r="D22" s="155">
        <f>Inputs!$C$6</f>
        <v>2018</v>
      </c>
      <c r="E22" s="156">
        <f>C22+(D22-C22)/2</f>
        <v>2015</v>
      </c>
      <c r="F22" s="132"/>
      <c r="G22" s="132"/>
      <c r="H22" s="137"/>
      <c r="I22" s="155">
        <f>Inputs!$C$5</f>
        <v>2012</v>
      </c>
      <c r="J22" s="155">
        <f>Inputs!$C$6</f>
        <v>2018</v>
      </c>
      <c r="K22" s="156">
        <f>I22+(J22-I22)/2</f>
        <v>2015</v>
      </c>
      <c r="L22" s="132"/>
      <c r="M22" s="132"/>
      <c r="N22" s="137"/>
      <c r="O22" s="155">
        <f>Inputs!$C$5</f>
        <v>2012</v>
      </c>
      <c r="P22" s="155">
        <f>Inputs!$C$6</f>
        <v>2018</v>
      </c>
      <c r="Q22" s="156">
        <f>O22+(P22-O22)/2</f>
        <v>2015</v>
      </c>
      <c r="R22" s="132"/>
      <c r="S22" s="132"/>
      <c r="T22" s="137"/>
      <c r="U22" s="155">
        <f>Inputs!$C$5</f>
        <v>2012</v>
      </c>
      <c r="V22" s="155">
        <f>Inputs!$C$6</f>
        <v>2018</v>
      </c>
      <c r="W22" s="156">
        <f>U22+(V22-U22)/2</f>
        <v>2015</v>
      </c>
      <c r="X22" s="132"/>
    </row>
    <row r="23" spans="1:24" x14ac:dyDescent="0.25">
      <c r="A23" s="132" t="s">
        <v>141</v>
      </c>
      <c r="B23" s="132"/>
      <c r="C23" s="143"/>
      <c r="D23" s="143"/>
      <c r="E23" s="157">
        <f>E13-E22</f>
        <v>3</v>
      </c>
      <c r="F23" s="132"/>
      <c r="G23" s="132"/>
      <c r="H23" s="137"/>
      <c r="I23" s="143"/>
      <c r="J23" s="143"/>
      <c r="K23" s="157">
        <f>K13-K22</f>
        <v>3</v>
      </c>
      <c r="L23" s="132"/>
      <c r="M23" s="132"/>
      <c r="N23" s="137"/>
      <c r="O23" s="143"/>
      <c r="P23" s="143"/>
      <c r="Q23" s="157">
        <f>Q13-Q22</f>
        <v>3</v>
      </c>
      <c r="R23" s="132"/>
      <c r="S23" s="132"/>
      <c r="T23" s="137"/>
      <c r="U23" s="143"/>
      <c r="V23" s="143"/>
      <c r="W23" s="157">
        <f>W13-W22</f>
        <v>3</v>
      </c>
      <c r="X23" s="132"/>
    </row>
    <row r="24" spans="1:24" x14ac:dyDescent="0.25">
      <c r="A24" s="132" t="s">
        <v>142</v>
      </c>
      <c r="B24" s="132"/>
      <c r="C24" s="143"/>
      <c r="D24" s="143"/>
      <c r="E24" s="158">
        <f>-B$10*E23</f>
        <v>-3.0626099999999996E-2</v>
      </c>
      <c r="F24" s="132"/>
      <c r="G24" s="132"/>
      <c r="H24" s="137"/>
      <c r="I24" s="143"/>
      <c r="J24" s="143"/>
      <c r="K24" s="158">
        <f>-H$10*K23</f>
        <v>-3.4071000000000004E-2</v>
      </c>
      <c r="L24" s="132"/>
      <c r="M24" s="132"/>
      <c r="N24" s="137"/>
      <c r="O24" s="143"/>
      <c r="P24" s="143"/>
      <c r="Q24" s="158">
        <f>-N$10*Q23</f>
        <v>-4.0950300000000002E-2</v>
      </c>
      <c r="R24" s="132"/>
      <c r="S24" s="132"/>
      <c r="T24" s="137"/>
      <c r="U24" s="143"/>
      <c r="V24" s="143"/>
      <c r="W24" s="158">
        <f>-T$10*W23</f>
        <v>-3.2231099999999999E-2</v>
      </c>
      <c r="X24" s="132"/>
    </row>
    <row r="25" spans="1:24" x14ac:dyDescent="0.25">
      <c r="A25" s="132" t="s">
        <v>143</v>
      </c>
      <c r="B25" s="132"/>
      <c r="C25" s="143"/>
      <c r="D25" s="143"/>
      <c r="E25" s="158">
        <f>(1-B6-B7-B8)*E17</f>
        <v>6.099806633052331E-4</v>
      </c>
      <c r="F25" s="132"/>
      <c r="G25" s="132"/>
      <c r="H25" s="137"/>
      <c r="I25" s="143"/>
      <c r="J25" s="143"/>
      <c r="K25" s="158">
        <f>(1-H6-H7-H8)*K17</f>
        <v>1.3697370301594524E-4</v>
      </c>
      <c r="L25" s="132"/>
      <c r="M25" s="132"/>
      <c r="N25" s="137"/>
      <c r="O25" s="143"/>
      <c r="P25" s="143"/>
      <c r="Q25" s="158">
        <f>(1-N6-N7-N8)*Q17</f>
        <v>8.3136195137960896E-4</v>
      </c>
      <c r="R25" s="132"/>
      <c r="S25" s="132"/>
      <c r="T25" s="137"/>
      <c r="U25" s="143"/>
      <c r="V25" s="143"/>
      <c r="W25" s="158">
        <f>(1-T6-T7-T8)*W17</f>
        <v>9.657661036314764E-4</v>
      </c>
      <c r="X25" s="132"/>
    </row>
    <row r="26" spans="1:24" x14ac:dyDescent="0.25">
      <c r="A26" s="132" t="s">
        <v>144</v>
      </c>
      <c r="B26" s="132"/>
      <c r="C26" s="143"/>
      <c r="D26" s="143"/>
      <c r="E26" s="158">
        <f>B9*E18</f>
        <v>-1.0073362406249047E-2</v>
      </c>
      <c r="F26" s="132"/>
      <c r="G26" s="132"/>
      <c r="H26" s="137"/>
      <c r="I26" s="143"/>
      <c r="J26" s="143"/>
      <c r="K26" s="158">
        <f>H9*K18</f>
        <v>-1.9245765398449795E-2</v>
      </c>
      <c r="L26" s="132"/>
      <c r="M26" s="132"/>
      <c r="N26" s="137"/>
      <c r="O26" s="143"/>
      <c r="P26" s="143"/>
      <c r="Q26" s="158">
        <f>N9*Q18</f>
        <v>-1.5408538471028998E-2</v>
      </c>
      <c r="R26" s="132"/>
      <c r="S26" s="132"/>
      <c r="T26" s="137"/>
      <c r="U26" s="143"/>
      <c r="V26" s="143"/>
      <c r="W26" s="158">
        <f>T9*W18</f>
        <v>-6.4815274900979648E-3</v>
      </c>
      <c r="X26" s="132"/>
    </row>
    <row r="27" spans="1:24" x14ac:dyDescent="0.25">
      <c r="A27" s="132"/>
      <c r="B27" s="132"/>
      <c r="C27" s="143"/>
      <c r="D27" s="143"/>
      <c r="E27" s="132"/>
      <c r="F27" s="132"/>
      <c r="G27" s="132"/>
      <c r="H27" s="137"/>
      <c r="I27" s="143"/>
      <c r="J27" s="143"/>
      <c r="K27" s="132"/>
      <c r="L27" s="132"/>
      <c r="M27" s="132"/>
      <c r="N27" s="137"/>
      <c r="O27" s="143"/>
      <c r="P27" s="143"/>
      <c r="Q27" s="132"/>
      <c r="R27" s="132"/>
      <c r="S27" s="132"/>
      <c r="T27" s="137"/>
      <c r="U27" s="143"/>
      <c r="V27" s="143"/>
      <c r="W27" s="132"/>
      <c r="X27" s="132"/>
    </row>
    <row r="28" spans="1:24" x14ac:dyDescent="0.25">
      <c r="A28" s="131" t="s">
        <v>145</v>
      </c>
      <c r="B28" s="131"/>
      <c r="C28" s="143"/>
      <c r="D28" s="143"/>
      <c r="E28" s="159">
        <f>E24+E25-E26</f>
        <v>-1.9942756930445716E-2</v>
      </c>
      <c r="F28" s="132"/>
      <c r="G28" s="132"/>
      <c r="H28" s="136"/>
      <c r="I28" s="143"/>
      <c r="J28" s="143"/>
      <c r="K28" s="159">
        <f>K24+K25-K26</f>
        <v>-1.4688260898534266E-2</v>
      </c>
      <c r="L28" s="132"/>
      <c r="M28" s="132"/>
      <c r="N28" s="136"/>
      <c r="O28" s="143"/>
      <c r="P28" s="143"/>
      <c r="Q28" s="159">
        <f>Q24+Q25-Q26</f>
        <v>-2.4710399577591392E-2</v>
      </c>
      <c r="R28" s="132"/>
      <c r="S28" s="132"/>
      <c r="T28" s="136"/>
      <c r="U28" s="143"/>
      <c r="V28" s="143"/>
      <c r="W28" s="159">
        <f>W24+W25-W26</f>
        <v>-2.4783806406270557E-2</v>
      </c>
      <c r="X28" s="132"/>
    </row>
    <row r="29" spans="1:24" x14ac:dyDescent="0.25">
      <c r="A29" s="132"/>
      <c r="B29" s="132"/>
      <c r="C29" s="143"/>
      <c r="D29" s="143"/>
      <c r="E29" s="132"/>
      <c r="F29" s="132"/>
      <c r="G29" s="132"/>
      <c r="H29" s="137"/>
      <c r="I29" s="143"/>
      <c r="J29" s="143"/>
      <c r="K29" s="132"/>
      <c r="L29" s="132"/>
      <c r="M29" s="132"/>
      <c r="N29" s="137"/>
      <c r="O29" s="143"/>
      <c r="P29" s="143"/>
      <c r="Q29" s="132"/>
      <c r="R29" s="132"/>
      <c r="S29" s="132"/>
      <c r="T29" s="137"/>
      <c r="U29" s="143"/>
      <c r="V29" s="143"/>
      <c r="W29" s="132"/>
      <c r="X29" s="132"/>
    </row>
    <row r="30" spans="1:24" x14ac:dyDescent="0.25">
      <c r="A30" s="131" t="s">
        <v>146</v>
      </c>
      <c r="B30" s="131"/>
      <c r="C30" s="143"/>
      <c r="D30" s="143"/>
      <c r="E30" s="160">
        <v>0</v>
      </c>
      <c r="F30" s="132"/>
      <c r="G30" s="131"/>
      <c r="H30" s="136"/>
      <c r="I30" s="143"/>
      <c r="J30" s="143"/>
      <c r="K30" s="160">
        <v>0</v>
      </c>
      <c r="L30" s="132"/>
      <c r="M30" s="131"/>
      <c r="N30" s="136"/>
      <c r="O30" s="143"/>
      <c r="P30" s="143"/>
      <c r="Q30" s="160">
        <v>0</v>
      </c>
      <c r="R30" s="132"/>
      <c r="S30" s="131"/>
      <c r="T30" s="136"/>
      <c r="U30" s="143"/>
      <c r="V30" s="143"/>
      <c r="W30" s="160">
        <v>0</v>
      </c>
      <c r="X30" s="132"/>
    </row>
    <row r="31" spans="1:24" x14ac:dyDescent="0.25">
      <c r="A31" s="132"/>
      <c r="B31" s="143"/>
      <c r="C31" s="143"/>
      <c r="D31" s="143"/>
      <c r="E31" s="132"/>
      <c r="F31" s="132"/>
      <c r="G31" s="132"/>
      <c r="H31" s="138"/>
      <c r="I31" s="143"/>
      <c r="J31" s="143"/>
      <c r="K31" s="143"/>
      <c r="L31" s="132"/>
      <c r="M31" s="132"/>
      <c r="N31" s="138"/>
      <c r="O31" s="143"/>
      <c r="P31" s="143"/>
      <c r="Q31" s="143"/>
      <c r="R31" s="132"/>
      <c r="S31" s="132"/>
      <c r="T31" s="138"/>
      <c r="U31" s="143"/>
      <c r="V31" s="143"/>
      <c r="W31" s="143"/>
      <c r="X31" s="132"/>
    </row>
    <row r="32" spans="1:24" x14ac:dyDescent="0.25">
      <c r="A32" s="134" t="s">
        <v>147</v>
      </c>
      <c r="B32" s="161"/>
      <c r="C32" s="143"/>
      <c r="D32" s="143"/>
      <c r="E32" s="162">
        <f>(1+E17)*(1+E30)*(1-E28)-1</f>
        <v>5.9390951069496767E-2</v>
      </c>
      <c r="F32" s="132"/>
      <c r="G32" s="161"/>
      <c r="H32" s="139"/>
      <c r="I32" s="143"/>
      <c r="J32" s="143"/>
      <c r="K32" s="162">
        <f>(1+K17)*(1+K30)*(1-K28)-1</f>
        <v>5.4101148971946733E-2</v>
      </c>
      <c r="L32" s="132"/>
      <c r="M32" s="161"/>
      <c r="N32" s="139"/>
      <c r="O32" s="143"/>
      <c r="P32" s="143"/>
      <c r="Q32" s="162">
        <f>(1+Q17)*(1+Q30)*(1-Q28)-1</f>
        <v>5.3386256915886499E-2</v>
      </c>
      <c r="R32" s="132"/>
      <c r="S32" s="161"/>
      <c r="T32" s="139"/>
      <c r="U32" s="143"/>
      <c r="V32" s="143"/>
      <c r="W32" s="162">
        <f>(1+W17)*(1+W30)*(1-W28)-1</f>
        <v>6.0844941682790532E-2</v>
      </c>
      <c r="X32" s="132"/>
    </row>
    <row r="33" spans="1:24" x14ac:dyDescent="0.25">
      <c r="A33" s="132"/>
      <c r="B33" s="132" t="s">
        <v>181</v>
      </c>
      <c r="C33" s="143"/>
      <c r="D33" s="143"/>
      <c r="E33" s="132" t="s">
        <v>155</v>
      </c>
      <c r="F33" s="132"/>
      <c r="G33" s="132"/>
      <c r="H33" s="132" t="str">
        <f>B33</f>
        <v>Average 2012-18</v>
      </c>
      <c r="I33" s="143"/>
      <c r="J33" s="143"/>
      <c r="K33" s="132" t="s">
        <v>155</v>
      </c>
      <c r="L33" s="132"/>
      <c r="M33" s="132"/>
      <c r="N33" s="132" t="str">
        <f>B33</f>
        <v>Average 2012-18</v>
      </c>
      <c r="O33" s="143"/>
      <c r="P33" s="143"/>
      <c r="Q33" s="132" t="s">
        <v>155</v>
      </c>
      <c r="R33" s="132"/>
      <c r="S33" s="132"/>
      <c r="T33" s="132" t="str">
        <f>B33</f>
        <v>Average 2012-18</v>
      </c>
      <c r="U33" s="131"/>
      <c r="V33" s="131"/>
      <c r="W33" s="131"/>
      <c r="X33" s="132"/>
    </row>
    <row r="34" spans="1:24" x14ac:dyDescent="0.25">
      <c r="A34" s="131" t="s">
        <v>180</v>
      </c>
      <c r="B34" s="163">
        <f>'Cost Drivers'!$H$25</f>
        <v>206744.94263623827</v>
      </c>
      <c r="C34" s="143"/>
      <c r="D34" s="143"/>
      <c r="E34" s="132"/>
      <c r="F34" s="132"/>
      <c r="G34" s="132"/>
      <c r="H34" s="164">
        <f>B34</f>
        <v>206744.94263623827</v>
      </c>
      <c r="I34" s="143"/>
      <c r="J34" s="143"/>
      <c r="K34" s="143"/>
      <c r="L34" s="132"/>
      <c r="M34" s="132"/>
      <c r="N34" s="164">
        <f>H34</f>
        <v>206744.94263623827</v>
      </c>
      <c r="O34" s="143"/>
      <c r="P34" s="143"/>
      <c r="Q34" s="143"/>
      <c r="R34" s="132"/>
      <c r="S34" s="132"/>
      <c r="T34" s="164">
        <f>N34</f>
        <v>206744.94263623827</v>
      </c>
      <c r="U34" s="131"/>
      <c r="V34" s="131"/>
      <c r="W34" s="131"/>
      <c r="X34" s="132"/>
    </row>
    <row r="35" spans="1:24" x14ac:dyDescent="0.25">
      <c r="A35" s="135" t="s">
        <v>148</v>
      </c>
      <c r="B35" s="163">
        <f>'Cost Drivers'!$H$25*(1-'Opex Forecasts'!F6)</f>
        <v>197638.90934228376</v>
      </c>
      <c r="C35" s="143"/>
      <c r="D35" s="143"/>
      <c r="E35" s="165">
        <f>$B35*(1+E32)</f>
        <v>209376.87213646004</v>
      </c>
      <c r="F35" s="132"/>
      <c r="G35" s="166"/>
      <c r="H35" s="164">
        <f>'Cost Drivers'!$H$25*(1-'Opex Forecasts'!L6)</f>
        <v>201393.67630420244</v>
      </c>
      <c r="I35" s="143"/>
      <c r="J35" s="143"/>
      <c r="K35" s="165">
        <f t="shared" ref="K35" si="5">$H35*(1+K32)</f>
        <v>212289.30558794411</v>
      </c>
      <c r="L35" s="132"/>
      <c r="M35" s="166"/>
      <c r="N35" s="164">
        <f>'Cost Drivers'!$H$25*(1-'Opex Forecasts'!R6)</f>
        <v>178195.37863299937</v>
      </c>
      <c r="O35" s="143"/>
      <c r="P35" s="143"/>
      <c r="Q35" s="165">
        <f>$N35*(1+Q32)</f>
        <v>187708.56289792436</v>
      </c>
      <c r="R35" s="132"/>
      <c r="S35" s="166"/>
      <c r="T35" s="164">
        <f>'Cost Drivers'!$H$25*(1-'Opex Forecasts'!X6)</f>
        <v>181792.5295192028</v>
      </c>
      <c r="U35" s="131"/>
      <c r="V35" s="131"/>
      <c r="W35" s="165">
        <f t="shared" ref="W35" si="6">$T35*(1+W32)</f>
        <v>192853.68537616567</v>
      </c>
      <c r="X35" s="132"/>
    </row>
    <row r="36" spans="1:24" x14ac:dyDescent="0.25">
      <c r="A36" s="135" t="s">
        <v>174</v>
      </c>
      <c r="B36" s="166"/>
      <c r="C36" s="166"/>
      <c r="D36" s="166"/>
      <c r="E36" s="165">
        <f>E35*Inputs!$C$8</f>
        <v>216193.18133868536</v>
      </c>
      <c r="F36" s="132"/>
      <c r="G36" s="166"/>
      <c r="H36" s="140"/>
      <c r="I36" s="166"/>
      <c r="J36" s="166"/>
      <c r="K36" s="165">
        <f>K35*Inputs!$C$8</f>
        <v>219200.4296889386</v>
      </c>
      <c r="L36" s="132"/>
      <c r="M36" s="166"/>
      <c r="N36" s="140"/>
      <c r="O36" s="166"/>
      <c r="P36" s="166"/>
      <c r="Q36" s="165">
        <f>Q35*Inputs!$C$8</f>
        <v>193819.45562242606</v>
      </c>
      <c r="R36" s="132"/>
      <c r="S36" s="166"/>
      <c r="T36" s="140"/>
      <c r="U36" s="131"/>
      <c r="V36" s="131"/>
      <c r="W36" s="165">
        <f>W35*Inputs!$C$8</f>
        <v>199132.07867194418</v>
      </c>
      <c r="X36" s="132"/>
    </row>
    <row r="37" spans="1:24" x14ac:dyDescent="0.25">
      <c r="R37" s="1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BN238"/>
  <sheetViews>
    <sheetView topLeftCell="A40" zoomScale="83" workbookViewId="0">
      <selection activeCell="D59" sqref="D59"/>
    </sheetView>
  </sheetViews>
  <sheetFormatPr defaultColWidth="8.7109375" defaultRowHeight="12.75" x14ac:dyDescent="0.2"/>
  <cols>
    <col min="1" max="1" width="8.7109375" style="16"/>
    <col min="2" max="2" width="28.7109375" style="16" bestFit="1" customWidth="1"/>
    <col min="3" max="3" width="24.85546875" style="16" bestFit="1" customWidth="1"/>
    <col min="4" max="4" width="17" style="16" bestFit="1" customWidth="1"/>
    <col min="5" max="5" width="34.85546875" style="16" customWidth="1"/>
    <col min="6" max="6" width="8.140625" style="16" customWidth="1"/>
    <col min="7" max="7" width="16.28515625" style="16" bestFit="1" customWidth="1"/>
    <col min="8" max="8" width="18.7109375" style="16" bestFit="1" customWidth="1"/>
    <col min="9" max="9" width="12" style="16" customWidth="1"/>
    <col min="10" max="11" width="15.42578125" style="16" customWidth="1"/>
    <col min="12" max="15" width="8.7109375" style="16"/>
    <col min="16" max="16" width="20.140625" style="16" bestFit="1" customWidth="1"/>
    <col min="17" max="16384" width="8.7109375" style="16"/>
  </cols>
  <sheetData>
    <row r="2" spans="2:17" x14ac:dyDescent="0.2">
      <c r="B2" s="14" t="s">
        <v>31</v>
      </c>
      <c r="C2" s="15" t="s">
        <v>168</v>
      </c>
      <c r="J2" s="73"/>
      <c r="K2" s="73"/>
      <c r="L2" s="73"/>
      <c r="O2" s="73"/>
      <c r="P2" s="73"/>
      <c r="Q2" s="73"/>
    </row>
    <row r="3" spans="2:17" x14ac:dyDescent="0.2">
      <c r="B3" s="14" t="s">
        <v>32</v>
      </c>
      <c r="C3" s="15" t="s">
        <v>86</v>
      </c>
      <c r="J3" s="73"/>
      <c r="K3" s="73"/>
      <c r="L3" s="73"/>
      <c r="O3" s="73"/>
      <c r="P3" s="73"/>
      <c r="Q3" s="73"/>
    </row>
    <row r="4" spans="2:17" x14ac:dyDescent="0.2">
      <c r="B4" s="14" t="s">
        <v>34</v>
      </c>
      <c r="C4" s="17">
        <v>2018</v>
      </c>
      <c r="J4" s="73"/>
      <c r="K4" s="73"/>
      <c r="L4" s="73"/>
      <c r="O4" s="73"/>
      <c r="P4" s="73"/>
      <c r="Q4" s="73"/>
    </row>
    <row r="5" spans="2:17" x14ac:dyDescent="0.2">
      <c r="B5" s="14" t="s">
        <v>35</v>
      </c>
      <c r="C5" s="17">
        <v>2012</v>
      </c>
      <c r="J5" s="198"/>
      <c r="K5" s="73"/>
      <c r="L5" s="73"/>
      <c r="O5" s="73"/>
      <c r="P5" s="73"/>
      <c r="Q5" s="73"/>
    </row>
    <row r="6" spans="2:17" x14ac:dyDescent="0.2">
      <c r="B6" s="14" t="s">
        <v>36</v>
      </c>
      <c r="C6" s="17">
        <v>2018</v>
      </c>
      <c r="J6" s="198"/>
      <c r="K6" s="73"/>
      <c r="L6" s="73"/>
      <c r="O6" s="73"/>
      <c r="P6" s="73"/>
      <c r="Q6" s="73"/>
    </row>
    <row r="7" spans="2:17" x14ac:dyDescent="0.2">
      <c r="B7" s="14" t="s">
        <v>177</v>
      </c>
      <c r="C7" s="17" t="s">
        <v>179</v>
      </c>
      <c r="J7" s="198"/>
      <c r="K7" s="73"/>
      <c r="L7" s="73"/>
      <c r="O7" s="73"/>
      <c r="P7" s="73"/>
      <c r="Q7" s="73"/>
    </row>
    <row r="8" spans="2:17" x14ac:dyDescent="0.2">
      <c r="B8" s="14" t="s">
        <v>171</v>
      </c>
      <c r="C8" s="196">
        <v>1.0325552155434954</v>
      </c>
      <c r="J8" s="198"/>
      <c r="K8" s="73"/>
      <c r="L8" s="73"/>
      <c r="O8" s="73"/>
      <c r="P8" s="73"/>
      <c r="Q8" s="73"/>
    </row>
    <row r="9" spans="2:17" x14ac:dyDescent="0.2">
      <c r="B9" s="14" t="s">
        <v>173</v>
      </c>
      <c r="C9" s="18">
        <v>1.0325552155434954</v>
      </c>
      <c r="E9" s="199"/>
      <c r="J9" s="198"/>
      <c r="K9" s="73"/>
      <c r="L9" s="73"/>
      <c r="O9" s="73"/>
      <c r="P9" s="73"/>
      <c r="Q9" s="73"/>
    </row>
    <row r="10" spans="2:17" ht="15" x14ac:dyDescent="0.25">
      <c r="B10" s="19"/>
      <c r="C10" s="19"/>
      <c r="J10" s="198"/>
      <c r="K10" s="73"/>
      <c r="L10" s="73"/>
    </row>
    <row r="11" spans="2:17" ht="15" x14ac:dyDescent="0.25">
      <c r="B11" s="19"/>
      <c r="C11" s="19"/>
      <c r="D11" s="19"/>
      <c r="E11" s="19"/>
      <c r="J11" s="198"/>
      <c r="K11" s="73"/>
      <c r="L11" s="73"/>
    </row>
    <row r="12" spans="2:17" ht="15" x14ac:dyDescent="0.25">
      <c r="B12" s="19"/>
      <c r="C12" s="20"/>
      <c r="D12" s="21"/>
      <c r="E12" s="19"/>
      <c r="F12" s="19"/>
      <c r="J12" s="198"/>
      <c r="K12" s="73"/>
      <c r="L12" s="73"/>
    </row>
    <row r="13" spans="2:17" ht="15" x14ac:dyDescent="0.25">
      <c r="B13" s="19"/>
      <c r="C13" s="20"/>
      <c r="D13" s="21"/>
      <c r="F13" s="19"/>
      <c r="J13" s="198"/>
      <c r="K13" s="73"/>
      <c r="L13" s="73"/>
    </row>
    <row r="14" spans="2:17" ht="15" x14ac:dyDescent="0.25">
      <c r="B14" s="19"/>
      <c r="C14" s="22"/>
      <c r="D14" s="23"/>
      <c r="F14" s="22"/>
      <c r="J14" s="198"/>
      <c r="K14" s="73"/>
      <c r="L14" s="73"/>
    </row>
    <row r="15" spans="2:17" x14ac:dyDescent="0.2">
      <c r="J15" s="198"/>
      <c r="K15" s="73"/>
      <c r="L15" s="73"/>
    </row>
    <row r="16" spans="2:17" x14ac:dyDescent="0.2">
      <c r="B16" s="24" t="s">
        <v>37</v>
      </c>
      <c r="C16" s="24" t="s">
        <v>38</v>
      </c>
      <c r="D16" s="25" t="s">
        <v>39</v>
      </c>
    </row>
    <row r="17" spans="2:10" ht="15" x14ac:dyDescent="0.25">
      <c r="F17" s="29"/>
      <c r="I17" s="30"/>
    </row>
    <row r="18" spans="2:10" ht="15" x14ac:dyDescent="0.25">
      <c r="B18" s="26" t="s">
        <v>176</v>
      </c>
      <c r="C18" s="27" t="s">
        <v>40</v>
      </c>
      <c r="D18" s="28">
        <v>193.55793337553899</v>
      </c>
      <c r="F18" s="29"/>
    </row>
    <row r="19" spans="2:10" ht="15" x14ac:dyDescent="0.25">
      <c r="B19" s="26" t="s">
        <v>176</v>
      </c>
      <c r="C19" s="27" t="s">
        <v>170</v>
      </c>
      <c r="D19" s="31">
        <f>D18*C9</f>
        <v>199.85925361673318</v>
      </c>
      <c r="I19" s="32"/>
      <c r="J19" s="33"/>
    </row>
    <row r="21" spans="2:10" x14ac:dyDescent="0.2">
      <c r="G21" s="202"/>
    </row>
    <row r="22" spans="2:10" x14ac:dyDescent="0.2">
      <c r="B22" s="24" t="s">
        <v>41</v>
      </c>
      <c r="C22" s="24" t="s">
        <v>38</v>
      </c>
      <c r="D22" s="25" t="s">
        <v>42</v>
      </c>
    </row>
    <row r="23" spans="2:10" ht="15" x14ac:dyDescent="0.2">
      <c r="B23" s="26" t="s">
        <v>43</v>
      </c>
      <c r="C23" s="16" t="s">
        <v>44</v>
      </c>
      <c r="D23" s="34">
        <f>D25+D24+D26+D27</f>
        <v>4.2918503456009172E-2</v>
      </c>
    </row>
    <row r="24" spans="2:10" ht="15" x14ac:dyDescent="0.25">
      <c r="B24" s="35" t="s">
        <v>45</v>
      </c>
      <c r="C24" s="16" t="s">
        <v>44</v>
      </c>
      <c r="D24" s="207">
        <v>-1.3781496543990832E-2</v>
      </c>
      <c r="E24" s="29"/>
    </row>
    <row r="25" spans="2:10" ht="15" x14ac:dyDescent="0.25">
      <c r="B25" s="35" t="s">
        <v>46</v>
      </c>
      <c r="C25" s="16" t="s">
        <v>44</v>
      </c>
      <c r="D25" s="207">
        <v>5.67E-2</v>
      </c>
      <c r="E25" s="19"/>
    </row>
    <row r="29" spans="2:10" ht="14.25" x14ac:dyDescent="0.2">
      <c r="E29" s="36"/>
    </row>
    <row r="64" spans="2:2" x14ac:dyDescent="0.2">
      <c r="B64" s="16" t="s">
        <v>47</v>
      </c>
    </row>
    <row r="65" spans="2:28" ht="18" thickBot="1" x14ac:dyDescent="0.35">
      <c r="B65" s="37" t="s">
        <v>179</v>
      </c>
    </row>
    <row r="66" spans="2:28" ht="15.75" thickTop="1" x14ac:dyDescent="0.25">
      <c r="B66" s="38" t="s">
        <v>48</v>
      </c>
      <c r="C66" s="39"/>
      <c r="D66" s="39"/>
      <c r="E66" s="39"/>
      <c r="F66" s="39"/>
      <c r="G66" s="39"/>
      <c r="H66" s="40"/>
      <c r="I66" s="41" t="s">
        <v>49</v>
      </c>
      <c r="J66" s="39"/>
      <c r="K66" s="39"/>
      <c r="L66" s="39"/>
      <c r="M66" s="39"/>
      <c r="N66" s="39"/>
      <c r="O66" s="39"/>
      <c r="P66" s="41" t="s">
        <v>50</v>
      </c>
      <c r="Q66" s="39"/>
      <c r="R66" s="39"/>
      <c r="S66" s="39"/>
      <c r="T66" s="39"/>
      <c r="U66" s="39"/>
      <c r="V66" s="42"/>
      <c r="W66" s="43" t="s">
        <v>51</v>
      </c>
      <c r="X66" s="39"/>
      <c r="Y66" s="39"/>
      <c r="Z66" s="39"/>
      <c r="AA66" s="39"/>
      <c r="AB66" s="44"/>
    </row>
    <row r="67" spans="2:28" ht="15" x14ac:dyDescent="0.25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46"/>
      <c r="T67" s="46"/>
      <c r="U67" s="46"/>
      <c r="V67" s="47"/>
      <c r="W67" s="46"/>
      <c r="X67" s="46"/>
      <c r="Y67" s="46"/>
      <c r="Z67" s="46"/>
      <c r="AA67" s="46"/>
      <c r="AB67" s="48"/>
    </row>
    <row r="68" spans="2:28" ht="15" x14ac:dyDescent="0.25">
      <c r="B68" s="49" t="s">
        <v>52</v>
      </c>
      <c r="C68" s="46"/>
      <c r="D68" s="46"/>
      <c r="E68" s="46"/>
      <c r="F68" s="50" t="s">
        <v>53</v>
      </c>
      <c r="G68" s="46"/>
      <c r="H68" s="46"/>
      <c r="I68" s="50" t="s">
        <v>52</v>
      </c>
      <c r="J68" s="46"/>
      <c r="K68" s="46"/>
      <c r="L68" s="46"/>
      <c r="M68" s="50" t="s">
        <v>53</v>
      </c>
      <c r="N68" s="46"/>
      <c r="O68" s="47"/>
      <c r="P68" s="50" t="s">
        <v>52</v>
      </c>
      <c r="Q68" s="46"/>
      <c r="R68" s="46"/>
      <c r="S68" s="46"/>
      <c r="T68" s="50" t="s">
        <v>53</v>
      </c>
      <c r="U68" s="46"/>
      <c r="V68" s="47"/>
      <c r="W68" s="50" t="s">
        <v>52</v>
      </c>
      <c r="X68" s="46"/>
      <c r="Y68" s="46"/>
      <c r="Z68" s="46"/>
      <c r="AA68" s="50" t="s">
        <v>53</v>
      </c>
      <c r="AB68" s="48"/>
    </row>
    <row r="69" spans="2:28" ht="15" x14ac:dyDescent="0.25">
      <c r="B69" s="49"/>
      <c r="C69" s="46"/>
      <c r="D69" s="46"/>
      <c r="E69" s="46"/>
      <c r="F69" s="50"/>
      <c r="G69" s="46"/>
      <c r="H69" s="46"/>
      <c r="I69" s="50"/>
      <c r="J69" s="46"/>
      <c r="K69" s="46"/>
      <c r="L69" s="46"/>
      <c r="M69" s="50"/>
      <c r="N69" s="46"/>
      <c r="O69" s="47"/>
      <c r="P69" s="50"/>
      <c r="Q69" s="46"/>
      <c r="R69" s="46"/>
      <c r="S69" s="46"/>
      <c r="T69" s="50"/>
      <c r="U69" s="46"/>
      <c r="V69" s="47"/>
      <c r="W69" s="50"/>
      <c r="X69" s="46"/>
      <c r="Y69" s="46"/>
      <c r="Z69" s="46"/>
      <c r="AA69" s="50"/>
      <c r="AB69" s="48"/>
    </row>
    <row r="70" spans="2:28" ht="15.75" thickBot="1" x14ac:dyDescent="0.3">
      <c r="B70" s="45"/>
      <c r="C70" s="46"/>
      <c r="D70" s="46"/>
      <c r="E70" s="46"/>
      <c r="F70" s="51" t="s">
        <v>31</v>
      </c>
      <c r="G70" s="51" t="s">
        <v>54</v>
      </c>
      <c r="H70" s="46"/>
      <c r="I70" s="46"/>
      <c r="J70" s="46"/>
      <c r="K70" s="46"/>
      <c r="L70" s="46"/>
      <c r="M70" s="51" t="s">
        <v>31</v>
      </c>
      <c r="N70" s="51" t="s">
        <v>55</v>
      </c>
      <c r="O70" s="47"/>
      <c r="P70" s="46"/>
      <c r="Q70" s="46"/>
      <c r="R70" s="46"/>
      <c r="S70" s="46"/>
      <c r="T70" s="51" t="s">
        <v>31</v>
      </c>
      <c r="U70" s="51" t="s">
        <v>56</v>
      </c>
      <c r="V70" s="47"/>
      <c r="W70" s="46"/>
      <c r="X70" s="46"/>
      <c r="Y70" s="46"/>
      <c r="Z70" s="46"/>
      <c r="AA70" s="51" t="s">
        <v>31</v>
      </c>
      <c r="AB70" s="52" t="s">
        <v>57</v>
      </c>
    </row>
    <row r="71" spans="2:28" ht="30.75" thickBot="1" x14ac:dyDescent="0.3">
      <c r="B71" s="53" t="s">
        <v>58</v>
      </c>
      <c r="C71" s="54" t="s">
        <v>59</v>
      </c>
      <c r="D71" s="54" t="s">
        <v>60</v>
      </c>
      <c r="E71" s="46"/>
      <c r="F71" s="50" t="s">
        <v>61</v>
      </c>
      <c r="G71" s="16">
        <v>0.46618409999999999</v>
      </c>
      <c r="H71" s="55"/>
      <c r="I71" s="56" t="s">
        <v>58</v>
      </c>
      <c r="J71" s="54" t="s">
        <v>59</v>
      </c>
      <c r="K71" s="54" t="s">
        <v>60</v>
      </c>
      <c r="L71" s="46"/>
      <c r="M71" s="50" t="s">
        <v>61</v>
      </c>
      <c r="N71" s="16">
        <v>0.42122590405836485</v>
      </c>
      <c r="O71" s="47"/>
      <c r="P71" s="56" t="s">
        <v>58</v>
      </c>
      <c r="Q71" s="54" t="s">
        <v>59</v>
      </c>
      <c r="R71" s="54" t="s">
        <v>60</v>
      </c>
      <c r="S71" s="46"/>
      <c r="T71" s="50" t="s">
        <v>61</v>
      </c>
      <c r="U71" s="16">
        <v>0.41271982750195491</v>
      </c>
      <c r="V71" s="47"/>
      <c r="W71" s="56" t="s">
        <v>58</v>
      </c>
      <c r="X71" s="54" t="s">
        <v>59</v>
      </c>
      <c r="Y71" s="54" t="s">
        <v>60</v>
      </c>
      <c r="Z71" s="46"/>
      <c r="AA71" s="50" t="s">
        <v>61</v>
      </c>
      <c r="AB71" s="16">
        <v>0.47104509999999999</v>
      </c>
    </row>
    <row r="72" spans="2:28" ht="15" x14ac:dyDescent="0.25">
      <c r="B72" s="57" t="s">
        <v>62</v>
      </c>
      <c r="C72" s="16">
        <v>0.66222610000000004</v>
      </c>
      <c r="D72" s="16">
        <v>6.79</v>
      </c>
      <c r="E72" s="46"/>
      <c r="F72" s="50" t="s">
        <v>63</v>
      </c>
      <c r="G72" s="16">
        <v>0.44455529999999999</v>
      </c>
      <c r="H72" s="55"/>
      <c r="I72" s="58" t="s">
        <v>62</v>
      </c>
      <c r="J72" s="16">
        <v>0.68456289999999997</v>
      </c>
      <c r="K72" s="16">
        <v>9.81</v>
      </c>
      <c r="L72" s="46"/>
      <c r="M72" s="50" t="s">
        <v>63</v>
      </c>
      <c r="N72" s="16">
        <v>0.42993136470490917</v>
      </c>
      <c r="O72" s="47"/>
      <c r="P72" s="58" t="s">
        <v>62</v>
      </c>
      <c r="Q72" s="16">
        <v>0.4434707</v>
      </c>
      <c r="R72" s="16">
        <v>6.08</v>
      </c>
      <c r="S72" s="46"/>
      <c r="T72" s="50" t="s">
        <v>63</v>
      </c>
      <c r="U72" s="16">
        <v>0.43834912371623103</v>
      </c>
      <c r="V72" s="47"/>
      <c r="W72" s="58" t="s">
        <v>62</v>
      </c>
      <c r="X72" s="16">
        <v>0.58762590000000003</v>
      </c>
      <c r="Y72" s="16">
        <v>4.9800000000000004</v>
      </c>
      <c r="Z72" s="46"/>
      <c r="AA72" s="50" t="s">
        <v>63</v>
      </c>
      <c r="AB72" s="16">
        <v>0.46405489999999999</v>
      </c>
    </row>
    <row r="73" spans="2:28" ht="15" x14ac:dyDescent="0.25">
      <c r="B73" s="59" t="s">
        <v>64</v>
      </c>
      <c r="C73" s="16">
        <v>0.21734829999999999</v>
      </c>
      <c r="D73" s="16">
        <v>4</v>
      </c>
      <c r="E73" s="46"/>
      <c r="F73" s="50" t="s">
        <v>65</v>
      </c>
      <c r="G73" s="16">
        <v>0.79495130000000003</v>
      </c>
      <c r="H73" s="55"/>
      <c r="I73" s="60" t="s">
        <v>64</v>
      </c>
      <c r="J73" s="16">
        <v>0.17842150000000001</v>
      </c>
      <c r="K73" s="16">
        <v>5.0199999999999996</v>
      </c>
      <c r="L73" s="46"/>
      <c r="M73" s="50" t="s">
        <v>65</v>
      </c>
      <c r="N73" s="16">
        <v>0.77445788315766384</v>
      </c>
      <c r="O73" s="47"/>
      <c r="P73" s="60" t="s">
        <v>64</v>
      </c>
      <c r="Q73" s="16">
        <v>0.19498370000000001</v>
      </c>
      <c r="R73" s="16">
        <v>6.83</v>
      </c>
      <c r="S73" s="46"/>
      <c r="T73" s="50" t="s">
        <v>65</v>
      </c>
      <c r="U73" s="16">
        <v>0.7988185942358651</v>
      </c>
      <c r="V73" s="47"/>
      <c r="W73" s="60" t="s">
        <v>64</v>
      </c>
      <c r="X73" s="16">
        <v>0.20179810000000001</v>
      </c>
      <c r="Y73" s="16">
        <v>3.99</v>
      </c>
      <c r="Z73" s="46"/>
      <c r="AA73" s="200" t="s">
        <v>65</v>
      </c>
      <c r="AB73" s="16">
        <v>0.9187244</v>
      </c>
    </row>
    <row r="74" spans="2:28" ht="15" x14ac:dyDescent="0.25">
      <c r="B74" s="59" t="s">
        <v>66</v>
      </c>
      <c r="C74" s="16">
        <v>0.10465439999999999</v>
      </c>
      <c r="D74" s="16">
        <v>1.2</v>
      </c>
      <c r="E74" s="46"/>
      <c r="F74" s="50" t="s">
        <v>67</v>
      </c>
      <c r="G74" s="16">
        <v>0.59084780000000003</v>
      </c>
      <c r="H74" s="55"/>
      <c r="I74" s="60" t="s">
        <v>66</v>
      </c>
      <c r="J74" s="16">
        <v>0.1334892</v>
      </c>
      <c r="K74" s="16">
        <v>1.84</v>
      </c>
      <c r="L74" s="46"/>
      <c r="M74" s="50" t="s">
        <v>67</v>
      </c>
      <c r="N74" s="16">
        <v>0.56657546198382458</v>
      </c>
      <c r="O74" s="47"/>
      <c r="P74" s="60" t="s">
        <v>66</v>
      </c>
      <c r="Q74" s="16">
        <v>0.33183750000000001</v>
      </c>
      <c r="R74" s="16">
        <v>5.26</v>
      </c>
      <c r="S74" s="46"/>
      <c r="T74" s="50" t="s">
        <v>67</v>
      </c>
      <c r="U74" s="16">
        <v>0.61728361064471871</v>
      </c>
      <c r="V74" s="47"/>
      <c r="W74" s="60" t="s">
        <v>66</v>
      </c>
      <c r="X74" s="16">
        <v>0.18313090000000001</v>
      </c>
      <c r="Y74" s="16">
        <v>1.73</v>
      </c>
      <c r="Z74" s="46"/>
      <c r="AA74" s="50" t="s">
        <v>67</v>
      </c>
      <c r="AB74" s="16">
        <v>0.60816099999999995</v>
      </c>
    </row>
    <row r="75" spans="2:28" ht="15" x14ac:dyDescent="0.25">
      <c r="B75" s="59" t="s">
        <v>68</v>
      </c>
      <c r="C75" s="16">
        <v>-8.4177299999999997E-2</v>
      </c>
      <c r="D75" s="16">
        <v>-1.82</v>
      </c>
      <c r="E75" s="46"/>
      <c r="F75" s="50" t="s">
        <v>69</v>
      </c>
      <c r="G75" s="16">
        <v>0.60763420000000001</v>
      </c>
      <c r="H75" s="55"/>
      <c r="I75" s="60" t="s">
        <v>68</v>
      </c>
      <c r="J75" s="16">
        <v>-0.16082579999999999</v>
      </c>
      <c r="K75" s="16">
        <v>-5.82</v>
      </c>
      <c r="L75" s="46"/>
      <c r="M75" s="50" t="s">
        <v>69</v>
      </c>
      <c r="N75" s="16">
        <v>0.58179216490621677</v>
      </c>
      <c r="O75" s="47"/>
      <c r="P75" s="60" t="s">
        <v>70</v>
      </c>
      <c r="Q75" s="16">
        <v>-0.80351070000000002</v>
      </c>
      <c r="R75" s="16">
        <v>-3.11</v>
      </c>
      <c r="S75" s="46"/>
      <c r="T75" s="50" t="s">
        <v>69</v>
      </c>
      <c r="U75" s="16">
        <v>0.59260156674323861</v>
      </c>
      <c r="V75" s="47"/>
      <c r="W75" s="60" t="s">
        <v>70</v>
      </c>
      <c r="X75" s="16">
        <v>-0.4383821</v>
      </c>
      <c r="Y75" s="16">
        <v>-1.1100000000000001</v>
      </c>
      <c r="Z75" s="46"/>
      <c r="AA75" s="50" t="s">
        <v>69</v>
      </c>
      <c r="AB75" s="16">
        <v>0.60324129999999998</v>
      </c>
    </row>
    <row r="76" spans="2:28" ht="15" x14ac:dyDescent="0.25">
      <c r="B76" s="59" t="s">
        <v>71</v>
      </c>
      <c r="C76" s="16">
        <v>1.0208699999999999E-2</v>
      </c>
      <c r="D76" s="16">
        <v>4.6900000000000004</v>
      </c>
      <c r="E76" s="46"/>
      <c r="F76" s="50" t="s">
        <v>72</v>
      </c>
      <c r="G76" s="16">
        <v>0.58154870000000003</v>
      </c>
      <c r="H76" s="55"/>
      <c r="I76" s="60" t="s">
        <v>71</v>
      </c>
      <c r="J76" s="16">
        <v>1.1357000000000001E-2</v>
      </c>
      <c r="K76" s="16">
        <v>3.01</v>
      </c>
      <c r="L76" s="46"/>
      <c r="M76" s="50" t="s">
        <v>72</v>
      </c>
      <c r="N76" s="16">
        <v>0.58154303667660601</v>
      </c>
      <c r="O76" s="47"/>
      <c r="P76" s="60" t="s">
        <v>73</v>
      </c>
      <c r="Q76" s="16">
        <v>0.24958440000000001</v>
      </c>
      <c r="R76" s="16">
        <v>2.57</v>
      </c>
      <c r="S76" s="46"/>
      <c r="T76" s="50" t="s">
        <v>72</v>
      </c>
      <c r="U76" s="16">
        <v>0.67674962811767103</v>
      </c>
      <c r="V76" s="47"/>
      <c r="W76" s="60" t="s">
        <v>73</v>
      </c>
      <c r="X76" s="16">
        <v>2.06357E-2</v>
      </c>
      <c r="Y76" s="16">
        <v>0.13</v>
      </c>
      <c r="Z76" s="46"/>
      <c r="AA76" s="50" t="s">
        <v>72</v>
      </c>
      <c r="AB76" s="16">
        <v>0.65688349999999995</v>
      </c>
    </row>
    <row r="77" spans="2:28" ht="15" x14ac:dyDescent="0.25">
      <c r="B77" s="59" t="s">
        <v>74</v>
      </c>
      <c r="C77" s="16">
        <v>3.58611E-2</v>
      </c>
      <c r="D77" s="16">
        <v>0.36</v>
      </c>
      <c r="E77" s="46"/>
      <c r="F77" s="50" t="s">
        <v>75</v>
      </c>
      <c r="G77" s="16">
        <v>0.6436366</v>
      </c>
      <c r="H77" s="55"/>
      <c r="I77" s="60" t="s">
        <v>74</v>
      </c>
      <c r="J77" s="16">
        <v>-0.33299570000000001</v>
      </c>
      <c r="K77" s="16">
        <v>-1.71</v>
      </c>
      <c r="L77" s="46"/>
      <c r="M77" s="50" t="s">
        <v>75</v>
      </c>
      <c r="N77" s="16">
        <v>0.65429988033275721</v>
      </c>
      <c r="O77" s="47"/>
      <c r="P77" s="60" t="s">
        <v>76</v>
      </c>
      <c r="Q77" s="16">
        <v>0.41956389999999999</v>
      </c>
      <c r="R77" s="16">
        <v>2.13</v>
      </c>
      <c r="S77" s="46"/>
      <c r="T77" s="50" t="s">
        <v>75</v>
      </c>
      <c r="U77" s="16">
        <v>0.75510572985098845</v>
      </c>
      <c r="V77" s="47"/>
      <c r="W77" s="60" t="s">
        <v>76</v>
      </c>
      <c r="X77" s="16">
        <v>0.36341380000000001</v>
      </c>
      <c r="Y77" s="16">
        <v>1.24</v>
      </c>
      <c r="Z77" s="46"/>
      <c r="AA77" s="50" t="s">
        <v>75</v>
      </c>
      <c r="AB77" s="16">
        <v>0.74786960000000002</v>
      </c>
    </row>
    <row r="78" spans="2:28" ht="15" x14ac:dyDescent="0.25">
      <c r="B78" s="59" t="s">
        <v>77</v>
      </c>
      <c r="C78" s="16">
        <v>0.31793729999999998</v>
      </c>
      <c r="D78" s="16">
        <v>3.47</v>
      </c>
      <c r="E78" s="46"/>
      <c r="F78" s="50" t="s">
        <v>33</v>
      </c>
      <c r="G78" s="16">
        <v>0.61350289999999996</v>
      </c>
      <c r="H78" s="55"/>
      <c r="I78" s="60" t="s">
        <v>77</v>
      </c>
      <c r="J78" s="16">
        <v>-9.0877299999999994E-2</v>
      </c>
      <c r="K78" s="16">
        <v>-0.47</v>
      </c>
      <c r="L78" s="46"/>
      <c r="M78" s="50" t="s">
        <v>33</v>
      </c>
      <c r="N78" s="16">
        <v>0.5950333051268144</v>
      </c>
      <c r="O78" s="47"/>
      <c r="P78" s="60" t="s">
        <v>78</v>
      </c>
      <c r="Q78" s="16">
        <v>3.7489700000000001E-2</v>
      </c>
      <c r="R78" s="16">
        <v>0.9</v>
      </c>
      <c r="S78" s="46"/>
      <c r="T78" s="50" t="s">
        <v>33</v>
      </c>
      <c r="U78" s="16">
        <v>0.49329120490565309</v>
      </c>
      <c r="V78" s="47"/>
      <c r="W78" s="60" t="s">
        <v>78</v>
      </c>
      <c r="X78" s="16">
        <v>0.16860130000000001</v>
      </c>
      <c r="Y78" s="16">
        <v>2.16</v>
      </c>
      <c r="Z78" s="46"/>
      <c r="AA78" s="50" t="s">
        <v>33</v>
      </c>
      <c r="AB78" s="16">
        <v>0.5875148</v>
      </c>
    </row>
    <row r="79" spans="2:28" ht="15.75" thickBot="1" x14ac:dyDescent="0.3">
      <c r="B79" s="61" t="s">
        <v>79</v>
      </c>
      <c r="C79" s="16">
        <v>-11.05354</v>
      </c>
      <c r="D79" s="16">
        <v>-2.5099999999999998</v>
      </c>
      <c r="E79" s="46"/>
      <c r="F79" s="50" t="s">
        <v>80</v>
      </c>
      <c r="G79" s="16">
        <v>0.95882509999999999</v>
      </c>
      <c r="H79" s="55"/>
      <c r="I79" s="60" t="s">
        <v>81</v>
      </c>
      <c r="J79" s="16">
        <v>-2.04563E-2</v>
      </c>
      <c r="K79" s="16">
        <v>-0.09</v>
      </c>
      <c r="L79" s="46"/>
      <c r="M79" s="50" t="s">
        <v>80</v>
      </c>
      <c r="N79" s="16">
        <v>1</v>
      </c>
      <c r="O79" s="47"/>
      <c r="P79" s="60" t="s">
        <v>82</v>
      </c>
      <c r="Q79" s="16">
        <v>-0.26649200000000001</v>
      </c>
      <c r="R79" s="16">
        <v>-3.58</v>
      </c>
      <c r="S79" s="46"/>
      <c r="T79" s="50" t="s">
        <v>80</v>
      </c>
      <c r="U79" s="16">
        <v>1</v>
      </c>
      <c r="V79" s="47"/>
      <c r="W79" s="60" t="s">
        <v>82</v>
      </c>
      <c r="X79" s="16">
        <v>-0.2004609</v>
      </c>
      <c r="Y79" s="16">
        <v>-1.81</v>
      </c>
      <c r="Z79" s="46"/>
      <c r="AA79" s="50" t="s">
        <v>80</v>
      </c>
      <c r="AB79" s="16">
        <v>0.9424188</v>
      </c>
    </row>
    <row r="80" spans="2:28" ht="15" x14ac:dyDescent="0.25">
      <c r="B80" s="45"/>
      <c r="C80" s="46"/>
      <c r="D80" s="46"/>
      <c r="E80" s="46"/>
      <c r="F80" s="50" t="s">
        <v>83</v>
      </c>
      <c r="G80" s="16">
        <v>0.76518580000000003</v>
      </c>
      <c r="H80" s="55"/>
      <c r="I80" s="60" t="s">
        <v>84</v>
      </c>
      <c r="J80" s="16">
        <v>-0.60899400000000004</v>
      </c>
      <c r="K80" s="16">
        <v>-2.95</v>
      </c>
      <c r="L80" s="46"/>
      <c r="M80" s="50" t="s">
        <v>83</v>
      </c>
      <c r="N80" s="16">
        <v>0.73691737719793426</v>
      </c>
      <c r="O80" s="47"/>
      <c r="P80" s="60" t="s">
        <v>85</v>
      </c>
      <c r="Q80" s="16">
        <v>2.7043000000000002E-3</v>
      </c>
      <c r="R80" s="16">
        <v>0.02</v>
      </c>
      <c r="S80" s="46"/>
      <c r="T80" s="50" t="s">
        <v>83</v>
      </c>
      <c r="U80" s="16">
        <v>0.79718915069482221</v>
      </c>
      <c r="V80" s="47"/>
      <c r="W80" s="60" t="s">
        <v>85</v>
      </c>
      <c r="X80" s="16">
        <v>-8.12943E-2</v>
      </c>
      <c r="Y80" s="16">
        <v>-0.33</v>
      </c>
      <c r="Z80" s="46"/>
      <c r="AA80" s="50" t="s">
        <v>83</v>
      </c>
      <c r="AB80" s="16">
        <v>0.78548839999999998</v>
      </c>
    </row>
    <row r="81" spans="2:28" ht="15" x14ac:dyDescent="0.25">
      <c r="B81" s="45"/>
      <c r="C81" s="46"/>
      <c r="D81" s="46"/>
      <c r="E81" s="46"/>
      <c r="F81" s="50" t="s">
        <v>86</v>
      </c>
      <c r="G81" s="16">
        <v>0.68746160000000001</v>
      </c>
      <c r="H81" s="55"/>
      <c r="I81" s="60" t="s">
        <v>87</v>
      </c>
      <c r="J81" s="16">
        <v>-0.29644100000000001</v>
      </c>
      <c r="K81" s="16">
        <v>-1.46</v>
      </c>
      <c r="L81" s="46"/>
      <c r="M81" s="50" t="s">
        <v>86</v>
      </c>
      <c r="N81" s="16">
        <v>0.70052207534798605</v>
      </c>
      <c r="O81" s="47"/>
      <c r="P81" s="60" t="s">
        <v>68</v>
      </c>
      <c r="Q81" s="16">
        <v>-0.12876029999999999</v>
      </c>
      <c r="R81" s="16">
        <v>-5.14</v>
      </c>
      <c r="S81" s="46"/>
      <c r="T81" s="50" t="s">
        <v>86</v>
      </c>
      <c r="U81" s="16">
        <v>0.61982977195795941</v>
      </c>
      <c r="V81" s="47"/>
      <c r="W81" s="60" t="s">
        <v>68</v>
      </c>
      <c r="X81" s="16">
        <v>-5.4162399999999999E-2</v>
      </c>
      <c r="Y81" s="16">
        <v>-1.1200000000000001</v>
      </c>
      <c r="Z81" s="46"/>
      <c r="AA81" s="50" t="s">
        <v>86</v>
      </c>
      <c r="AB81" s="16">
        <v>0.63234199999999996</v>
      </c>
    </row>
    <row r="82" spans="2:28" ht="15" x14ac:dyDescent="0.25">
      <c r="B82" s="45"/>
      <c r="C82" s="46"/>
      <c r="D82" s="46"/>
      <c r="E82" s="46"/>
      <c r="F82" s="50" t="s">
        <v>88</v>
      </c>
      <c r="G82" s="16">
        <v>0.76922559999999995</v>
      </c>
      <c r="H82" s="55"/>
      <c r="I82" s="60" t="s">
        <v>89</v>
      </c>
      <c r="J82" s="16">
        <v>-0.32294400000000001</v>
      </c>
      <c r="K82" s="16">
        <v>-1.6</v>
      </c>
      <c r="L82" s="46"/>
      <c r="M82" s="50" t="s">
        <v>88</v>
      </c>
      <c r="N82" s="16">
        <v>0.7413821237755599</v>
      </c>
      <c r="O82" s="47"/>
      <c r="P82" s="60" t="s">
        <v>71</v>
      </c>
      <c r="Q82" s="16">
        <v>1.36501E-2</v>
      </c>
      <c r="R82" s="16">
        <v>3.87</v>
      </c>
      <c r="S82" s="46"/>
      <c r="T82" s="50" t="s">
        <v>88</v>
      </c>
      <c r="U82" s="16">
        <v>0.75524105692272114</v>
      </c>
      <c r="V82" s="47"/>
      <c r="W82" s="60" t="s">
        <v>71</v>
      </c>
      <c r="X82" s="16">
        <v>1.07437E-2</v>
      </c>
      <c r="Y82" s="16">
        <v>4.5599999999999996</v>
      </c>
      <c r="Z82" s="46"/>
      <c r="AA82" s="50" t="s">
        <v>88</v>
      </c>
      <c r="AB82" s="16">
        <v>0.75810809999999995</v>
      </c>
    </row>
    <row r="83" spans="2:28" ht="15" x14ac:dyDescent="0.25">
      <c r="B83" s="45"/>
      <c r="C83" s="46"/>
      <c r="D83" s="46"/>
      <c r="E83" s="46"/>
      <c r="F83" s="50" t="s">
        <v>90</v>
      </c>
      <c r="G83" s="16">
        <v>0.7696347</v>
      </c>
      <c r="H83" s="55"/>
      <c r="I83" s="60" t="s">
        <v>91</v>
      </c>
      <c r="J83" s="16">
        <v>-0.32251570000000002</v>
      </c>
      <c r="K83" s="16">
        <v>-1.5</v>
      </c>
      <c r="L83" s="46"/>
      <c r="M83" s="50" t="s">
        <v>90</v>
      </c>
      <c r="N83" s="16">
        <v>0.78261398456542486</v>
      </c>
      <c r="O83" s="47"/>
      <c r="P83" s="60" t="s">
        <v>74</v>
      </c>
      <c r="Q83" s="16">
        <v>-0.45048779999999999</v>
      </c>
      <c r="R83" s="16">
        <v>-2.93</v>
      </c>
      <c r="S83" s="46"/>
      <c r="T83" s="50" t="s">
        <v>90</v>
      </c>
      <c r="U83" s="16">
        <v>0.64528164408331024</v>
      </c>
      <c r="V83" s="47"/>
      <c r="W83" s="60" t="s">
        <v>74</v>
      </c>
      <c r="X83" s="16">
        <v>-7.6793100000000003E-2</v>
      </c>
      <c r="Y83" s="16">
        <v>-0.74</v>
      </c>
      <c r="Z83" s="46"/>
      <c r="AA83" s="50" t="s">
        <v>90</v>
      </c>
      <c r="AB83" s="16">
        <v>0.73570539999999995</v>
      </c>
    </row>
    <row r="84" spans="2:28" ht="15" x14ac:dyDescent="0.25">
      <c r="B84" s="45"/>
      <c r="C84" s="46"/>
      <c r="D84" s="46"/>
      <c r="E84" s="46"/>
      <c r="F84" s="46"/>
      <c r="G84" s="46"/>
      <c r="H84" s="46"/>
      <c r="I84" s="60" t="s">
        <v>92</v>
      </c>
      <c r="J84" s="16">
        <v>-0.44039650000000002</v>
      </c>
      <c r="K84" s="16">
        <v>-1.96</v>
      </c>
      <c r="L84" s="47"/>
      <c r="M84" s="47"/>
      <c r="N84" s="47"/>
      <c r="O84" s="47"/>
      <c r="P84" s="60" t="s">
        <v>77</v>
      </c>
      <c r="Q84" s="16">
        <v>-0.2248049</v>
      </c>
      <c r="R84" s="16">
        <v>-1.46</v>
      </c>
      <c r="S84" s="47"/>
      <c r="T84" s="47"/>
      <c r="U84" s="47"/>
      <c r="V84" s="47"/>
      <c r="W84" s="60" t="s">
        <v>77</v>
      </c>
      <c r="X84" s="16">
        <v>0.2330285</v>
      </c>
      <c r="Y84" s="16">
        <v>2.66</v>
      </c>
      <c r="Z84" s="47"/>
      <c r="AA84" s="47"/>
      <c r="AB84" s="62"/>
    </row>
    <row r="85" spans="2:28" ht="15.75" thickBot="1" x14ac:dyDescent="0.3">
      <c r="B85" s="45"/>
      <c r="C85" s="46"/>
      <c r="D85" s="46"/>
      <c r="E85" s="46"/>
      <c r="F85" s="46"/>
      <c r="G85" s="46"/>
      <c r="H85" s="46"/>
      <c r="I85" s="60" t="s">
        <v>93</v>
      </c>
      <c r="J85" s="16">
        <v>-0.34544809999999998</v>
      </c>
      <c r="K85" s="16">
        <v>-1.76</v>
      </c>
      <c r="L85" s="47"/>
      <c r="M85" s="47"/>
      <c r="N85" s="47"/>
      <c r="O85" s="47"/>
      <c r="P85" s="60" t="s">
        <v>81</v>
      </c>
      <c r="Q85" s="16">
        <v>-6.02467E-2</v>
      </c>
      <c r="R85" s="16">
        <v>-0.32</v>
      </c>
      <c r="S85" s="47"/>
      <c r="T85" s="47"/>
      <c r="U85" s="47"/>
      <c r="V85" s="47"/>
      <c r="W85" s="63" t="s">
        <v>79</v>
      </c>
      <c r="X85" s="16">
        <v>-12.098610000000001</v>
      </c>
      <c r="Y85" s="16">
        <v>-2.5499999999999998</v>
      </c>
      <c r="Z85" s="47"/>
      <c r="AA85" s="47"/>
      <c r="AB85" s="62"/>
    </row>
    <row r="86" spans="2:28" ht="15" x14ac:dyDescent="0.25">
      <c r="B86" s="45"/>
      <c r="C86" s="46"/>
      <c r="D86" s="46"/>
      <c r="E86" s="46"/>
      <c r="F86" s="46"/>
      <c r="G86" s="46"/>
      <c r="H86" s="46"/>
      <c r="I86" s="60" t="s">
        <v>94</v>
      </c>
      <c r="J86" s="16">
        <v>-0.86458599999999997</v>
      </c>
      <c r="K86" s="16">
        <v>-4.1900000000000004</v>
      </c>
      <c r="L86" s="47"/>
      <c r="M86" s="47"/>
      <c r="N86" s="47"/>
      <c r="O86" s="47"/>
      <c r="P86" s="60" t="s">
        <v>84</v>
      </c>
      <c r="Q86" s="16">
        <v>-0.66036490000000003</v>
      </c>
      <c r="R86" s="16">
        <v>-3.99</v>
      </c>
      <c r="S86" s="47"/>
      <c r="T86" s="47"/>
      <c r="U86" s="47"/>
      <c r="V86" s="47"/>
      <c r="W86" s="47"/>
      <c r="Z86" s="47"/>
      <c r="AA86" s="47"/>
      <c r="AB86" s="62"/>
    </row>
    <row r="87" spans="2:28" ht="15" x14ac:dyDescent="0.25">
      <c r="B87" s="45"/>
      <c r="C87" s="46"/>
      <c r="D87" s="46"/>
      <c r="E87" s="46"/>
      <c r="F87" s="46"/>
      <c r="G87" s="46"/>
      <c r="H87" s="46"/>
      <c r="I87" s="60" t="s">
        <v>95</v>
      </c>
      <c r="J87" s="16">
        <v>-0.55930650000000004</v>
      </c>
      <c r="K87" s="16">
        <v>-2.76</v>
      </c>
      <c r="L87" s="47"/>
      <c r="M87" s="47"/>
      <c r="N87" s="47"/>
      <c r="O87" s="47"/>
      <c r="P87" s="60" t="s">
        <v>87</v>
      </c>
      <c r="Q87" s="16">
        <v>-0.40255960000000002</v>
      </c>
      <c r="R87" s="16">
        <v>-2.4500000000000002</v>
      </c>
      <c r="S87" s="47"/>
      <c r="T87" s="47"/>
      <c r="U87" s="47"/>
      <c r="V87" s="47"/>
      <c r="W87" s="47"/>
      <c r="Z87" s="47"/>
      <c r="AA87" s="47"/>
      <c r="AB87" s="62"/>
    </row>
    <row r="88" spans="2:28" ht="15" x14ac:dyDescent="0.25">
      <c r="B88" s="45"/>
      <c r="C88" s="46"/>
      <c r="D88" s="46"/>
      <c r="E88" s="46"/>
      <c r="F88" s="46"/>
      <c r="G88" s="46"/>
      <c r="H88" s="64"/>
      <c r="I88" s="60" t="s">
        <v>96</v>
      </c>
      <c r="J88" s="16">
        <v>-0.50865660000000001</v>
      </c>
      <c r="K88" s="16">
        <v>-2.5</v>
      </c>
      <c r="L88" s="46"/>
      <c r="M88" s="46"/>
      <c r="N88" s="46"/>
      <c r="O88" s="46"/>
      <c r="P88" s="60" t="s">
        <v>89</v>
      </c>
      <c r="Q88" s="16">
        <v>-0.3617533</v>
      </c>
      <c r="R88" s="16">
        <v>-2.16</v>
      </c>
      <c r="S88" s="47"/>
      <c r="T88" s="47"/>
      <c r="U88" s="47"/>
      <c r="V88" s="47"/>
      <c r="W88" s="47"/>
      <c r="Z88" s="47"/>
      <c r="AA88" s="47"/>
      <c r="AB88" s="62"/>
    </row>
    <row r="89" spans="2:28" ht="15" x14ac:dyDescent="0.25">
      <c r="B89" s="45"/>
      <c r="C89" s="46"/>
      <c r="D89" s="46"/>
      <c r="E89" s="46"/>
      <c r="F89" s="65"/>
      <c r="G89" s="46"/>
      <c r="H89" s="64"/>
      <c r="I89" s="60" t="s">
        <v>97</v>
      </c>
      <c r="J89" s="16">
        <v>-0.56534689999999999</v>
      </c>
      <c r="K89" s="16">
        <v>-2.54</v>
      </c>
      <c r="L89" s="46"/>
      <c r="M89" s="46"/>
      <c r="N89" s="46"/>
      <c r="O89" s="46"/>
      <c r="P89" s="60" t="s">
        <v>91</v>
      </c>
      <c r="Q89" s="16">
        <v>-0.49453239999999998</v>
      </c>
      <c r="R89" s="16">
        <v>-2.59</v>
      </c>
      <c r="S89" s="47"/>
      <c r="T89" s="47"/>
      <c r="U89" s="47"/>
      <c r="V89" s="47"/>
      <c r="W89" s="47"/>
      <c r="Z89" s="47"/>
      <c r="AA89" s="47"/>
      <c r="AB89" s="62"/>
    </row>
    <row r="90" spans="2:28" ht="15" x14ac:dyDescent="0.25">
      <c r="B90" s="45"/>
      <c r="C90" s="46"/>
      <c r="D90" s="46"/>
      <c r="E90" s="46"/>
      <c r="F90" s="65"/>
      <c r="G90" s="46"/>
      <c r="H90" s="64"/>
      <c r="I90" s="60" t="s">
        <v>98</v>
      </c>
      <c r="J90" s="16">
        <v>-0.61947030000000003</v>
      </c>
      <c r="K90" s="16">
        <v>-2.85</v>
      </c>
      <c r="L90" s="46"/>
      <c r="M90" s="46"/>
      <c r="N90" s="46"/>
      <c r="O90" s="46"/>
      <c r="P90" s="60" t="s">
        <v>92</v>
      </c>
      <c r="Q90" s="16">
        <v>-0.60408879999999998</v>
      </c>
      <c r="R90" s="16">
        <v>-2.95</v>
      </c>
      <c r="S90" s="47"/>
      <c r="T90" s="47"/>
      <c r="U90" s="47"/>
      <c r="V90" s="47"/>
      <c r="W90" s="47"/>
      <c r="Z90" s="47"/>
      <c r="AA90" s="47"/>
      <c r="AB90" s="62"/>
    </row>
    <row r="91" spans="2:28" ht="15" x14ac:dyDescent="0.25">
      <c r="B91" s="45"/>
      <c r="C91" s="46"/>
      <c r="D91" s="46"/>
      <c r="E91" s="46"/>
      <c r="F91" s="65"/>
      <c r="G91" s="46"/>
      <c r="H91" s="64"/>
      <c r="I91" s="60" t="s">
        <v>79</v>
      </c>
      <c r="J91" s="16">
        <v>-12.663550000000001</v>
      </c>
      <c r="K91" s="16">
        <v>-1.67</v>
      </c>
      <c r="L91" s="46"/>
      <c r="M91" s="46"/>
      <c r="N91" s="46"/>
      <c r="O91" s="46"/>
      <c r="P91" s="60" t="s">
        <v>93</v>
      </c>
      <c r="Q91" s="16">
        <v>-0.17833070000000001</v>
      </c>
      <c r="R91" s="16">
        <v>-1.1200000000000001</v>
      </c>
      <c r="S91" s="47"/>
      <c r="T91" s="47"/>
      <c r="U91" s="47"/>
      <c r="V91" s="47"/>
      <c r="W91" s="47"/>
      <c r="Z91" s="47"/>
      <c r="AA91" s="47"/>
      <c r="AB91" s="62"/>
    </row>
    <row r="92" spans="2:28" ht="15" x14ac:dyDescent="0.25">
      <c r="B92" s="45"/>
      <c r="C92" s="46"/>
      <c r="D92" s="46"/>
      <c r="E92" s="46"/>
      <c r="F92" s="65"/>
      <c r="G92" s="46"/>
      <c r="H92" s="64"/>
      <c r="I92" s="46"/>
      <c r="J92" s="46"/>
      <c r="K92" s="46"/>
      <c r="L92" s="46"/>
      <c r="M92" s="46"/>
      <c r="N92" s="46"/>
      <c r="O92" s="46"/>
      <c r="P92" s="60" t="s">
        <v>94</v>
      </c>
      <c r="Q92" s="16">
        <v>-0.8849863</v>
      </c>
      <c r="R92" s="16">
        <v>-5.16</v>
      </c>
      <c r="S92" s="47"/>
      <c r="T92" s="47"/>
      <c r="U92" s="47"/>
      <c r="V92" s="47"/>
      <c r="W92" s="47"/>
      <c r="Z92" s="47"/>
      <c r="AA92" s="47"/>
      <c r="AB92" s="62"/>
    </row>
    <row r="93" spans="2:28" ht="15" x14ac:dyDescent="0.25">
      <c r="B93" s="45"/>
      <c r="C93" s="46"/>
      <c r="D93" s="46"/>
      <c r="E93" s="46"/>
      <c r="F93" s="65"/>
      <c r="G93" s="46"/>
      <c r="H93" s="64"/>
      <c r="I93" s="46"/>
      <c r="J93" s="46"/>
      <c r="K93" s="46"/>
      <c r="L93" s="46"/>
      <c r="M93" s="46"/>
      <c r="N93" s="46"/>
      <c r="O93" s="46"/>
      <c r="P93" s="60" t="s">
        <v>95</v>
      </c>
      <c r="Q93" s="16">
        <v>-0.65832299999999999</v>
      </c>
      <c r="R93" s="16">
        <v>-3.92</v>
      </c>
      <c r="S93" s="47"/>
      <c r="T93" s="47"/>
      <c r="U93" s="47"/>
      <c r="V93" s="47"/>
      <c r="W93" s="47"/>
      <c r="Z93" s="47"/>
      <c r="AA93" s="47"/>
      <c r="AB93" s="62"/>
    </row>
    <row r="94" spans="2:28" ht="15" x14ac:dyDescent="0.25">
      <c r="B94" s="45"/>
      <c r="C94" s="46"/>
      <c r="D94" s="46"/>
      <c r="E94" s="46"/>
      <c r="F94" s="65"/>
      <c r="G94" s="46"/>
      <c r="H94" s="64"/>
      <c r="I94" s="46"/>
      <c r="J94" s="46"/>
      <c r="K94" s="46"/>
      <c r="L94" s="46"/>
      <c r="M94" s="46"/>
      <c r="N94" s="46"/>
      <c r="O94" s="46"/>
      <c r="P94" s="60" t="s">
        <v>96</v>
      </c>
      <c r="Q94" s="16">
        <v>-0.40667589999999998</v>
      </c>
      <c r="R94" s="16">
        <v>-2.34</v>
      </c>
      <c r="S94" s="47"/>
      <c r="T94" s="47"/>
      <c r="U94" s="47"/>
      <c r="V94" s="47"/>
      <c r="W94" s="47"/>
      <c r="Z94" s="47"/>
      <c r="AA94" s="47"/>
      <c r="AB94" s="62"/>
    </row>
    <row r="95" spans="2:28" ht="15" x14ac:dyDescent="0.25">
      <c r="B95" s="45"/>
      <c r="C95" s="46"/>
      <c r="D95" s="46"/>
      <c r="E95" s="46"/>
      <c r="F95" s="65"/>
      <c r="G95" s="46"/>
      <c r="H95" s="64"/>
      <c r="I95" s="46"/>
      <c r="J95" s="46"/>
      <c r="K95" s="46"/>
      <c r="L95" s="46"/>
      <c r="M95" s="46"/>
      <c r="N95" s="46"/>
      <c r="O95" s="46"/>
      <c r="P95" s="60" t="s">
        <v>97</v>
      </c>
      <c r="Q95" s="16">
        <v>-0.60426800000000003</v>
      </c>
      <c r="R95" s="16">
        <v>-3.41</v>
      </c>
      <c r="S95" s="47"/>
      <c r="T95" s="47"/>
      <c r="U95" s="47"/>
      <c r="V95" s="47"/>
      <c r="W95" s="47"/>
      <c r="Z95" s="47"/>
      <c r="AA95" s="47"/>
      <c r="AB95" s="62"/>
    </row>
    <row r="96" spans="2:28" ht="15" x14ac:dyDescent="0.25">
      <c r="B96" s="45"/>
      <c r="C96" s="46"/>
      <c r="D96" s="46"/>
      <c r="E96" s="46"/>
      <c r="F96" s="65"/>
      <c r="G96" s="46"/>
      <c r="H96" s="64"/>
      <c r="I96" s="46"/>
      <c r="J96" s="46"/>
      <c r="K96" s="46"/>
      <c r="L96" s="46"/>
      <c r="M96" s="46"/>
      <c r="N96" s="46"/>
      <c r="O96" s="46"/>
      <c r="P96" s="60" t="s">
        <v>98</v>
      </c>
      <c r="Q96" s="16">
        <v>-0.44691789999999998</v>
      </c>
      <c r="R96" s="16">
        <v>-2.5099999999999998</v>
      </c>
      <c r="S96" s="47"/>
      <c r="T96" s="47"/>
      <c r="U96" s="47"/>
      <c r="V96" s="47"/>
      <c r="W96" s="47"/>
      <c r="Z96" s="47"/>
      <c r="AA96" s="47"/>
      <c r="AB96" s="62"/>
    </row>
    <row r="97" spans="2:66" ht="15" x14ac:dyDescent="0.25">
      <c r="B97" s="66"/>
      <c r="C97" s="67"/>
      <c r="D97" s="67"/>
      <c r="E97" s="67"/>
      <c r="F97" s="68"/>
      <c r="G97" s="67"/>
      <c r="H97" s="69"/>
      <c r="I97" s="67"/>
      <c r="J97" s="67"/>
      <c r="K97" s="67"/>
      <c r="L97" s="67"/>
      <c r="M97" s="67"/>
      <c r="N97" s="67"/>
      <c r="O97" s="67"/>
      <c r="P97" s="70" t="s">
        <v>79</v>
      </c>
      <c r="Q97" s="16">
        <v>-17.211690000000001</v>
      </c>
      <c r="R97" s="16">
        <v>-2.42</v>
      </c>
      <c r="S97" s="71"/>
      <c r="T97" s="71"/>
      <c r="U97" s="71"/>
      <c r="V97" s="71"/>
      <c r="W97" s="71"/>
      <c r="Z97" s="71"/>
      <c r="AA97" s="71"/>
      <c r="AB97" s="72"/>
    </row>
    <row r="99" spans="2:66" ht="15" x14ac:dyDescent="0.25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</row>
    <row r="100" spans="2:66" ht="15" x14ac:dyDescent="0.25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2:66" ht="15" x14ac:dyDescent="0.2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2:66" ht="15" x14ac:dyDescent="0.2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</row>
    <row r="103" spans="2:66" ht="15" x14ac:dyDescent="0.2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</row>
    <row r="104" spans="2:66" ht="15" x14ac:dyDescent="0.2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</row>
    <row r="105" spans="2:66" ht="15" x14ac:dyDescent="0.2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</row>
    <row r="106" spans="2:66" ht="15" x14ac:dyDescent="0.2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</row>
    <row r="107" spans="2:66" ht="15" x14ac:dyDescent="0.2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2:66" ht="15" x14ac:dyDescent="0.2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</row>
    <row r="109" spans="2:66" ht="15" x14ac:dyDescent="0.2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2:66" ht="15" x14ac:dyDescent="0.2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</row>
    <row r="111" spans="2:66" ht="15" x14ac:dyDescent="0.2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</row>
    <row r="112" spans="2:66" ht="15" x14ac:dyDescent="0.2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</row>
    <row r="113" spans="2:66" ht="15" x14ac:dyDescent="0.2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</row>
    <row r="114" spans="2:66" ht="15" x14ac:dyDescent="0.2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</row>
    <row r="115" spans="2:66" ht="15" x14ac:dyDescent="0.2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</row>
    <row r="116" spans="2:66" ht="15" x14ac:dyDescent="0.2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</row>
    <row r="117" spans="2:66" ht="15" x14ac:dyDescent="0.2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</row>
    <row r="118" spans="2:66" ht="15" x14ac:dyDescent="0.2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</row>
    <row r="119" spans="2:66" ht="15" x14ac:dyDescent="0.2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</row>
    <row r="120" spans="2:66" ht="15" x14ac:dyDescent="0.2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</row>
    <row r="121" spans="2:66" ht="15" x14ac:dyDescent="0.2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</row>
    <row r="122" spans="2:66" ht="15" x14ac:dyDescent="0.2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</row>
    <row r="123" spans="2:66" ht="15" x14ac:dyDescent="0.2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</row>
    <row r="124" spans="2:66" ht="15" x14ac:dyDescent="0.2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</row>
    <row r="125" spans="2:66" ht="15" x14ac:dyDescent="0.2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2:66" ht="15" x14ac:dyDescent="0.2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</row>
    <row r="127" spans="2:66" ht="15" x14ac:dyDescent="0.2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</row>
    <row r="128" spans="2:66" ht="15" x14ac:dyDescent="0.2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</row>
    <row r="129" spans="2:66" ht="15" x14ac:dyDescent="0.2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</row>
    <row r="130" spans="2:66" ht="15" x14ac:dyDescent="0.2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</row>
    <row r="131" spans="2:66" ht="15" x14ac:dyDescent="0.2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</row>
    <row r="132" spans="2:66" ht="15" x14ac:dyDescent="0.2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</row>
    <row r="133" spans="2:66" ht="15" x14ac:dyDescent="0.2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</row>
    <row r="134" spans="2:66" ht="15" x14ac:dyDescent="0.2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</row>
    <row r="135" spans="2:66" ht="15" x14ac:dyDescent="0.2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</row>
    <row r="136" spans="2:66" ht="15" x14ac:dyDescent="0.25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</row>
    <row r="137" spans="2:66" ht="15" x14ac:dyDescent="0.25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</row>
    <row r="138" spans="2:66" ht="15" x14ac:dyDescent="0.25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</row>
    <row r="139" spans="2:66" ht="15" x14ac:dyDescent="0.25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</row>
    <row r="140" spans="2:66" ht="15" x14ac:dyDescent="0.25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</row>
    <row r="141" spans="2:66" ht="15" x14ac:dyDescent="0.25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</row>
    <row r="142" spans="2:66" ht="15" x14ac:dyDescent="0.25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</row>
    <row r="143" spans="2:66" ht="15" x14ac:dyDescent="0.2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</row>
    <row r="144" spans="2:66" ht="15" x14ac:dyDescent="0.25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</row>
    <row r="145" spans="2:66" ht="15" x14ac:dyDescent="0.25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</row>
    <row r="146" spans="2:66" ht="15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</row>
    <row r="147" spans="2:66" ht="15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</row>
    <row r="148" spans="2:66" ht="15" x14ac:dyDescent="0.25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</row>
    <row r="149" spans="2:66" ht="15" x14ac:dyDescent="0.25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</row>
    <row r="150" spans="2:66" ht="15" x14ac:dyDescent="0.25"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</row>
    <row r="151" spans="2:66" ht="15" x14ac:dyDescent="0.25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</row>
    <row r="152" spans="2:66" ht="15" x14ac:dyDescent="0.25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</row>
    <row r="153" spans="2:66" ht="15" x14ac:dyDescent="0.25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</row>
    <row r="154" spans="2:66" ht="15" x14ac:dyDescent="0.25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</row>
    <row r="155" spans="2:66" ht="15" x14ac:dyDescent="0.25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</row>
    <row r="156" spans="2:66" ht="15" x14ac:dyDescent="0.25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</row>
    <row r="157" spans="2:66" ht="15" x14ac:dyDescent="0.25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</row>
    <row r="158" spans="2:66" ht="15" x14ac:dyDescent="0.25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</row>
    <row r="159" spans="2:66" ht="15" x14ac:dyDescent="0.25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</row>
    <row r="160" spans="2:66" ht="15" x14ac:dyDescent="0.25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</row>
    <row r="161" spans="2:66" ht="15" x14ac:dyDescent="0.25"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</row>
    <row r="162" spans="2:66" ht="15" x14ac:dyDescent="0.25"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</row>
    <row r="163" spans="2:66" ht="15" x14ac:dyDescent="0.25"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</row>
    <row r="164" spans="2:66" ht="15" x14ac:dyDescent="0.25"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</row>
    <row r="165" spans="2:66" ht="15" x14ac:dyDescent="0.25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</row>
    <row r="166" spans="2:66" ht="15" x14ac:dyDescent="0.25"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</row>
    <row r="167" spans="2:66" ht="15" x14ac:dyDescent="0.25"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</row>
    <row r="168" spans="2:66" ht="15" x14ac:dyDescent="0.25"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</row>
    <row r="169" spans="2:66" ht="15" x14ac:dyDescent="0.25"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</row>
    <row r="170" spans="2:66" ht="15" x14ac:dyDescent="0.25"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</row>
    <row r="171" spans="2:66" ht="15" x14ac:dyDescent="0.25"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</row>
    <row r="172" spans="2:66" ht="15" x14ac:dyDescent="0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</row>
    <row r="173" spans="2:66" ht="15" x14ac:dyDescent="0.25"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</row>
    <row r="174" spans="2:66" ht="15" x14ac:dyDescent="0.25"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</row>
    <row r="175" spans="2:66" ht="15" x14ac:dyDescent="0.25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</row>
    <row r="176" spans="2:66" ht="15" x14ac:dyDescent="0.25"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</row>
    <row r="177" spans="2:66" ht="15" x14ac:dyDescent="0.25"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</row>
    <row r="178" spans="2:66" ht="15" x14ac:dyDescent="0.25"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</row>
    <row r="179" spans="2:66" ht="15" x14ac:dyDescent="0.25"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</row>
    <row r="180" spans="2:66" ht="15" x14ac:dyDescent="0.25"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</row>
    <row r="181" spans="2:66" ht="15" x14ac:dyDescent="0.25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</row>
    <row r="182" spans="2:66" ht="15" x14ac:dyDescent="0.25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</row>
    <row r="183" spans="2:66" ht="15" x14ac:dyDescent="0.25"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</row>
    <row r="184" spans="2:66" ht="15" x14ac:dyDescent="0.25"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</row>
    <row r="185" spans="2:66" ht="15" x14ac:dyDescent="0.25"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</row>
    <row r="186" spans="2:66" ht="15" x14ac:dyDescent="0.25"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</row>
    <row r="187" spans="2:66" ht="15" x14ac:dyDescent="0.25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</row>
    <row r="188" spans="2:66" ht="15" x14ac:dyDescent="0.25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</row>
    <row r="189" spans="2:66" ht="15" x14ac:dyDescent="0.25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</row>
    <row r="190" spans="2:66" ht="15" x14ac:dyDescent="0.25"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</row>
    <row r="191" spans="2:66" ht="15" x14ac:dyDescent="0.25"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</row>
    <row r="192" spans="2:66" ht="15" x14ac:dyDescent="0.25"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</row>
    <row r="193" spans="2:66" ht="15" x14ac:dyDescent="0.25"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</row>
    <row r="194" spans="2:66" ht="15" x14ac:dyDescent="0.25"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</row>
    <row r="195" spans="2:66" ht="15" x14ac:dyDescent="0.25"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</row>
    <row r="196" spans="2:66" ht="15" x14ac:dyDescent="0.25"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</row>
    <row r="197" spans="2:66" ht="15" x14ac:dyDescent="0.25"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</row>
    <row r="198" spans="2:66" ht="15" x14ac:dyDescent="0.25"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</row>
    <row r="199" spans="2:66" ht="15" x14ac:dyDescent="0.25"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</row>
    <row r="200" spans="2:66" ht="15" x14ac:dyDescent="0.25"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</row>
    <row r="201" spans="2:66" ht="15" x14ac:dyDescent="0.25"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</row>
    <row r="202" spans="2:66" ht="15" x14ac:dyDescent="0.25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</row>
    <row r="203" spans="2:66" ht="15" x14ac:dyDescent="0.25"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</row>
    <row r="204" spans="2:66" ht="15" x14ac:dyDescent="0.25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</row>
    <row r="205" spans="2:66" ht="15" x14ac:dyDescent="0.25"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</row>
    <row r="206" spans="2:66" ht="15" x14ac:dyDescent="0.25"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</row>
    <row r="207" spans="2:66" ht="15" x14ac:dyDescent="0.25"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</row>
    <row r="208" spans="2:66" ht="15" x14ac:dyDescent="0.25"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</row>
    <row r="209" spans="2:66" ht="15" x14ac:dyDescent="0.25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</row>
    <row r="210" spans="2:66" ht="15" x14ac:dyDescent="0.25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</row>
    <row r="211" spans="2:66" ht="15" x14ac:dyDescent="0.25"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</row>
    <row r="212" spans="2:66" ht="15" x14ac:dyDescent="0.25"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</row>
    <row r="213" spans="2:66" ht="15" x14ac:dyDescent="0.25"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</row>
    <row r="214" spans="2:66" ht="15" x14ac:dyDescent="0.25"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</row>
    <row r="215" spans="2:66" ht="15" x14ac:dyDescent="0.25"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</row>
    <row r="216" spans="2:66" ht="15" x14ac:dyDescent="0.25"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</row>
    <row r="217" spans="2:66" ht="15" x14ac:dyDescent="0.25"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</row>
    <row r="218" spans="2:66" ht="15" x14ac:dyDescent="0.25"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</row>
    <row r="219" spans="2:66" ht="15" x14ac:dyDescent="0.25"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</row>
    <row r="220" spans="2:66" ht="15" x14ac:dyDescent="0.25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2:66" ht="15" x14ac:dyDescent="0.25"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</row>
    <row r="222" spans="2:66" ht="15" x14ac:dyDescent="0.25"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2:66" ht="15" x14ac:dyDescent="0.25"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</row>
    <row r="224" spans="2:66" ht="15" x14ac:dyDescent="0.25"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</row>
    <row r="225" spans="2:66" ht="15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</row>
    <row r="226" spans="2:66" ht="15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</row>
    <row r="227" spans="2:66" ht="15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</row>
    <row r="228" spans="2:66" ht="15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</row>
    <row r="229" spans="2:66" ht="15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</row>
    <row r="230" spans="2:66" ht="15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</row>
    <row r="231" spans="2:66" ht="15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</row>
    <row r="232" spans="2:66" ht="15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</row>
    <row r="233" spans="2:66" ht="15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</row>
    <row r="234" spans="2:66" ht="15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</row>
    <row r="235" spans="2:66" ht="15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</row>
    <row r="236" spans="2:66" ht="15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</row>
    <row r="237" spans="2:66" ht="15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</row>
    <row r="238" spans="2:66" ht="15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</row>
  </sheetData>
  <dataConsolidate/>
  <dataValidations count="4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  <dataValidation type="list" allowBlank="1" showInputMessage="1" showErrorMessage="1" sqref="C7">
      <formula1>$G$22:$G$23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B15" sqref="B15"/>
    </sheetView>
  </sheetViews>
  <sheetFormatPr defaultColWidth="0" defaultRowHeight="12.6" customHeight="1" zeroHeight="1" x14ac:dyDescent="0.2"/>
  <cols>
    <col min="1" max="1" width="45.42578125" style="185" customWidth="1"/>
    <col min="2" max="14" width="9.140625" style="185" customWidth="1"/>
    <col min="15" max="16384" width="9.140625" style="185" hidden="1"/>
  </cols>
  <sheetData>
    <row r="1" spans="1:11" ht="12.75" x14ac:dyDescent="0.2">
      <c r="A1" s="184" t="str">
        <f>"Assessment of "&amp;Inputs!C2&amp;"'s estimated opex "&amp;Inputs!C4</f>
        <v>Assessment of Ausnet's estimated opex 2018</v>
      </c>
    </row>
    <row r="2" spans="1:11" ht="12.75" x14ac:dyDescent="0.2">
      <c r="A2" s="184"/>
    </row>
    <row r="3" spans="1:11" ht="12.75" x14ac:dyDescent="0.2">
      <c r="A3" s="184" t="str">
        <f>"Assessment made by comparing to rolled forward average target opex for "&amp;Inputs!C5&amp;"-"&amp;RIGHT(Inputs!C6,2)&amp;" from four models"</f>
        <v>Assessment made by comparing to rolled forward average target opex for 2012-18 from four models</v>
      </c>
    </row>
    <row r="4" spans="1:11" ht="12.75" x14ac:dyDescent="0.2">
      <c r="A4" s="184"/>
    </row>
    <row r="5" spans="1:11" ht="12.75" x14ac:dyDescent="0.2">
      <c r="A5" s="184" t="s">
        <v>157</v>
      </c>
    </row>
    <row r="6" spans="1:11" ht="12.75" x14ac:dyDescent="0.2">
      <c r="A6" s="184" t="s">
        <v>158</v>
      </c>
    </row>
    <row r="7" spans="1:11" ht="12.75" x14ac:dyDescent="0.2">
      <c r="H7" s="204" t="s">
        <v>178</v>
      </c>
    </row>
    <row r="8" spans="1:11" ht="12.75" x14ac:dyDescent="0.2">
      <c r="A8" s="186" t="str">
        <f>'Opex Forecasts'!A36</f>
        <v>Target opex ($'000Jun2021)</v>
      </c>
      <c r="B8" s="184">
        <f>'Opex Forecasts'!E13</f>
        <v>2018</v>
      </c>
      <c r="C8" s="184"/>
      <c r="D8" s="184"/>
      <c r="E8" s="184" t="s">
        <v>169</v>
      </c>
    </row>
    <row r="9" spans="1:11" ht="15" x14ac:dyDescent="0.25">
      <c r="A9" s="185" t="str">
        <f>'Opex Modelling Results'!A4</f>
        <v xml:space="preserve">Cobb-Douglas SFA </v>
      </c>
      <c r="B9" s="188">
        <f>'Opex Forecasts'!E36/1000</f>
        <v>216.19318133868535</v>
      </c>
      <c r="C9" s="188"/>
      <c r="D9" s="188"/>
      <c r="E9" s="188">
        <f>INDEX($B$8:$C$17,MATCH($A9,$A$8:$A$17,0),MATCH(Inputs!$C$4,Summary!$B$8:$C$8,0))*H9</f>
        <v>216.19318133868535</v>
      </c>
      <c r="G9" s="189">
        <f>AVERAGE($E$9:$E$12)</f>
        <v>207.08628633049855</v>
      </c>
      <c r="H9" s="185">
        <v>1</v>
      </c>
      <c r="K9" s="201"/>
    </row>
    <row r="10" spans="1:11" ht="15" x14ac:dyDescent="0.25">
      <c r="A10" s="185" t="str">
        <f>'Opex Modelling Results'!H4</f>
        <v xml:space="preserve">Cobb-Douglas LSE </v>
      </c>
      <c r="B10" s="188">
        <f>'Opex Forecasts'!K36/1000</f>
        <v>219.20042968893861</v>
      </c>
      <c r="C10" s="188"/>
      <c r="D10" s="188"/>
      <c r="E10" s="188">
        <f>INDEX($B$8:$C$17,MATCH($A10,$A$8:$A$17,0),MATCH(Inputs!$C$4,Summary!$B$8:$C$8,0))*H10</f>
        <v>219.20042968893861</v>
      </c>
      <c r="G10" s="189">
        <f t="shared" ref="G10:G13" si="0">AVERAGE($E$9:$E$12)</f>
        <v>207.08628633049855</v>
      </c>
      <c r="H10" s="185">
        <v>1</v>
      </c>
      <c r="K10" s="201"/>
    </row>
    <row r="11" spans="1:11" ht="15" x14ac:dyDescent="0.25">
      <c r="A11" s="185" t="str">
        <f>'Opex Modelling Results'!O4</f>
        <v>Translog LSE</v>
      </c>
      <c r="B11" s="188">
        <f>'Opex Forecasts'!Q36/1000</f>
        <v>193.81945562242606</v>
      </c>
      <c r="C11" s="188"/>
      <c r="D11" s="188"/>
      <c r="E11" s="188">
        <f>INDEX($B$8:$C$17,MATCH($A11,$A$8:$A$17,0),MATCH(Inputs!$C$4,Summary!$B$8:$C$8,0))*H11</f>
        <v>193.81945562242606</v>
      </c>
      <c r="G11" s="189">
        <f t="shared" si="0"/>
        <v>207.08628633049855</v>
      </c>
      <c r="H11" s="185">
        <v>1</v>
      </c>
      <c r="K11" s="201"/>
    </row>
    <row r="12" spans="1:11" ht="15" x14ac:dyDescent="0.25">
      <c r="A12" s="185" t="s">
        <v>132</v>
      </c>
      <c r="B12" s="188">
        <f>'Opex Forecasts'!W36/1000</f>
        <v>199.13207867194419</v>
      </c>
      <c r="C12" s="188"/>
      <c r="D12" s="188"/>
      <c r="E12" s="188">
        <f>INDEX($B$8:$C$17,MATCH($A12,$A$8:$A$17,0),MATCH(Inputs!$C$4,Summary!$B$8:$C$8,0))*H12</f>
        <v>199.13207867194419</v>
      </c>
      <c r="G12" s="189">
        <f t="shared" si="0"/>
        <v>207.08628633049855</v>
      </c>
      <c r="H12" s="185">
        <v>1</v>
      </c>
      <c r="K12" s="201"/>
    </row>
    <row r="13" spans="1:11" ht="15" x14ac:dyDescent="0.25">
      <c r="A13" s="184" t="str">
        <f>Inputs!C2&amp;" actual opex"</f>
        <v>Ausnet actual opex</v>
      </c>
      <c r="B13" s="193">
        <f>Inputs!$D$19</f>
        <v>199.85925361673318</v>
      </c>
      <c r="C13" s="193"/>
      <c r="D13" s="193"/>
      <c r="E13" s="188">
        <f>INDEX($B$8:$C$17,MATCH($A13,$A$8:$A$17,0),MATCH(Inputs!$C$4,Summary!$B$8:$C$8,0))</f>
        <v>199.85925361673318</v>
      </c>
      <c r="G13" s="189">
        <f t="shared" si="0"/>
        <v>207.08628633049855</v>
      </c>
      <c r="K13" s="201"/>
    </row>
    <row r="14" spans="1:11" ht="12.75" x14ac:dyDescent="0.2">
      <c r="A14" s="184"/>
      <c r="B14" s="193"/>
      <c r="C14" s="193"/>
      <c r="D14" s="193"/>
      <c r="E14" s="193"/>
    </row>
    <row r="15" spans="1:11" ht="12.75" x14ac:dyDescent="0.2">
      <c r="A15" s="184" t="s">
        <v>159</v>
      </c>
      <c r="B15" s="193">
        <f>AVERAGE(B9:B12)</f>
        <v>207.08628633049855</v>
      </c>
      <c r="C15" s="193"/>
      <c r="D15" s="193"/>
      <c r="E15" s="193">
        <f>AVERAGEIF(E9:E12,"&gt;0")</f>
        <v>207.08628633049855</v>
      </c>
      <c r="G15" s="193"/>
    </row>
    <row r="16" spans="1:11" ht="12.75" x14ac:dyDescent="0.2">
      <c r="A16" s="184" t="s">
        <v>166</v>
      </c>
      <c r="B16" s="194">
        <f t="shared" ref="B16" si="1">B15-B13</f>
        <v>7.227032713765368</v>
      </c>
      <c r="C16" s="194"/>
      <c r="D16" s="194"/>
      <c r="E16" s="194">
        <f>E15-E13</f>
        <v>7.227032713765368</v>
      </c>
    </row>
    <row r="17" spans="1:7" ht="12.75" x14ac:dyDescent="0.2">
      <c r="A17" s="185" t="s">
        <v>167</v>
      </c>
      <c r="B17" s="195">
        <f t="shared" ref="B17" si="2">B16/B13</f>
        <v>3.6160610944862878E-2</v>
      </c>
      <c r="C17" s="195"/>
      <c r="D17" s="195"/>
      <c r="E17" s="195">
        <f>E16/E13</f>
        <v>3.6160610944862878E-2</v>
      </c>
      <c r="G17" s="203"/>
    </row>
    <row r="18" spans="1:7" ht="12.75" x14ac:dyDescent="0.2">
      <c r="A18" s="184"/>
      <c r="B18" s="187"/>
      <c r="C18" s="187"/>
      <c r="D18" s="187"/>
      <c r="E18" s="187"/>
      <c r="F18" s="208"/>
      <c r="G18" s="190"/>
    </row>
    <row r="19" spans="1:7" ht="12.75" x14ac:dyDescent="0.2">
      <c r="A19" s="184"/>
      <c r="B19" s="187"/>
      <c r="C19" s="187"/>
      <c r="D19" s="187"/>
      <c r="E19" s="187"/>
    </row>
    <row r="20" spans="1:7" ht="12.75" x14ac:dyDescent="0.2">
      <c r="A20" s="184"/>
      <c r="B20" s="187"/>
      <c r="C20" s="187"/>
      <c r="D20" s="187"/>
      <c r="E20" s="187"/>
    </row>
    <row r="21" spans="1:7" ht="12.75" x14ac:dyDescent="0.2">
      <c r="A21" s="184"/>
      <c r="B21" s="191"/>
      <c r="C21" s="191"/>
      <c r="D21" s="191"/>
      <c r="E21" s="191"/>
    </row>
    <row r="22" spans="1:7" ht="12.75" x14ac:dyDescent="0.2">
      <c r="A22" s="184"/>
    </row>
    <row r="23" spans="1:7" ht="12.75" x14ac:dyDescent="0.2">
      <c r="A23" s="184"/>
    </row>
    <row r="24" spans="1:7" ht="12.75" x14ac:dyDescent="0.2">
      <c r="A24" s="184"/>
      <c r="B24" s="187"/>
      <c r="C24" s="187"/>
      <c r="D24" s="187"/>
      <c r="E24" s="187"/>
    </row>
    <row r="25" spans="1:7" ht="12.75" x14ac:dyDescent="0.2">
      <c r="A25" s="184"/>
      <c r="B25" s="187"/>
      <c r="C25" s="187"/>
      <c r="D25" s="187"/>
      <c r="E25" s="187"/>
    </row>
    <row r="26" spans="1:7" ht="12.75" x14ac:dyDescent="0.2">
      <c r="A26" s="184"/>
      <c r="B26" s="191"/>
      <c r="C26" s="191"/>
      <c r="D26" s="191"/>
      <c r="E26" s="191"/>
    </row>
    <row r="27" spans="1:7" ht="12.75" x14ac:dyDescent="0.2"/>
    <row r="28" spans="1:7" ht="12.75" x14ac:dyDescent="0.2"/>
    <row r="29" spans="1:7" ht="12.75" x14ac:dyDescent="0.2"/>
    <row r="30" spans="1:7" ht="12.75" x14ac:dyDescent="0.2"/>
    <row r="31" spans="1:7" ht="12.75" x14ac:dyDescent="0.2"/>
    <row r="32" spans="1: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2020-09-28T03:08:51Z</dcterms:created>
  <dcterms:modified xsi:type="dcterms:W3CDTF">2020-09-28T03:08:55Z</dcterms:modified>
</cp:coreProperties>
</file>