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2300"/>
  </bookViews>
  <sheets>
    <sheet name="AER draft decision 2021-22" sheetId="18" r:id="rId1"/>
    <sheet name="Summary" sheetId="11" r:id="rId2"/>
    <sheet name="Forecast Volumes and Revenue" sheetId="16" r:id="rId3"/>
    <sheet name="2021 Remote Special Reads" sheetId="8" r:id="rId4"/>
    <sheet name="2021 Remote Reconfig" sheetId="9" r:id="rId5"/>
    <sheet name="2021 Field Officer Visit" sheetId="12" r:id="rId6"/>
    <sheet name="Non-Standard AMI Data Request" sheetId="13" r:id="rId7"/>
    <sheet name="AMI Data Request (AER)" sheetId="17" r:id="rId8"/>
    <sheet name="Priority Re-energisation" sheetId="15" r:id="rId9"/>
    <sheet name="Type-7 Unmetered" sheetId="14" r:id="rId10"/>
  </sheets>
  <externalReferences>
    <externalReference r:id="rId11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1" l="1"/>
  <c r="C7" i="18" l="1"/>
  <c r="C11" i="18" l="1"/>
  <c r="C12" i="18"/>
  <c r="B11" i="18"/>
  <c r="B12" i="18"/>
  <c r="C8" i="18"/>
  <c r="C6" i="18"/>
  <c r="C5" i="18"/>
  <c r="C4" i="18"/>
  <c r="C3" i="18"/>
  <c r="C28" i="17"/>
  <c r="C26" i="17"/>
  <c r="D26" i="17" s="1"/>
  <c r="C21" i="17"/>
  <c r="C9" i="18" s="1"/>
  <c r="C20" i="17"/>
  <c r="D19" i="17"/>
  <c r="E19" i="17" s="1"/>
  <c r="H18" i="17"/>
  <c r="C7" i="17"/>
  <c r="C6" i="17"/>
  <c r="B6" i="17"/>
  <c r="B4" i="17"/>
  <c r="B3" i="17"/>
  <c r="D20" i="17" l="1"/>
  <c r="D21" i="17"/>
  <c r="C3" i="17"/>
  <c r="C22" i="17"/>
  <c r="E26" i="17"/>
  <c r="F19" i="17"/>
  <c r="E20" i="17"/>
  <c r="E21" i="17"/>
  <c r="D28" i="17"/>
  <c r="C4" i="17"/>
  <c r="E28" i="17" l="1"/>
  <c r="D22" i="17"/>
  <c r="D3" i="17"/>
  <c r="G19" i="17"/>
  <c r="F20" i="17"/>
  <c r="F21" i="17"/>
  <c r="F26" i="17"/>
  <c r="E4" i="17"/>
  <c r="D4" i="17"/>
  <c r="F28" i="17" l="1"/>
  <c r="E22" i="17"/>
  <c r="E3" i="17"/>
  <c r="E5" i="17" s="1"/>
  <c r="E6" i="17" s="1"/>
  <c r="E7" i="17" s="1"/>
  <c r="G26" i="17"/>
  <c r="F4" i="17"/>
  <c r="G20" i="17"/>
  <c r="H20" i="17" s="1"/>
  <c r="G21" i="17"/>
  <c r="D5" i="17"/>
  <c r="D6" i="17" s="1"/>
  <c r="D7" i="17" s="1"/>
  <c r="I15" i="17"/>
  <c r="G28" i="17" l="1"/>
  <c r="F22" i="17"/>
  <c r="F3" i="17"/>
  <c r="F5" i="17" s="1"/>
  <c r="F6" i="17" s="1"/>
  <c r="F7" i="17" s="1"/>
  <c r="G4" i="17"/>
  <c r="H4" i="17" s="1"/>
  <c r="G22" i="17" l="1"/>
  <c r="G3" i="17"/>
  <c r="H3" i="17" s="1"/>
  <c r="G5" i="17"/>
  <c r="G6" i="17" s="1"/>
  <c r="G7" i="17" s="1"/>
  <c r="H7" i="17" s="1"/>
  <c r="J15" i="17" l="1"/>
  <c r="C21" i="16" l="1"/>
  <c r="B21" i="16"/>
  <c r="G20" i="16"/>
  <c r="G21" i="16" s="1"/>
  <c r="F20" i="16"/>
  <c r="F21" i="16" s="1"/>
  <c r="E20" i="16"/>
  <c r="E21" i="16" s="1"/>
  <c r="D20" i="16"/>
  <c r="D21" i="16" s="1"/>
  <c r="F9" i="16"/>
  <c r="E9" i="16"/>
  <c r="D9" i="16"/>
  <c r="C9" i="16"/>
  <c r="B9" i="16"/>
  <c r="D3" i="14" l="1"/>
  <c r="E3" i="14" s="1"/>
  <c r="F3" i="14" s="1"/>
  <c r="G3" i="14" s="1"/>
  <c r="H3" i="14" s="1"/>
  <c r="I3" i="14" s="1"/>
  <c r="C3" i="14"/>
  <c r="F2" i="14"/>
  <c r="G2" i="14" s="1"/>
  <c r="H2" i="14" s="1"/>
  <c r="I2" i="14" s="1"/>
  <c r="G4" i="13"/>
  <c r="B39" i="11" l="1"/>
  <c r="B40" i="11" s="1"/>
  <c r="B41" i="11" s="1"/>
  <c r="C14" i="8"/>
  <c r="C14" i="15" l="1"/>
  <c r="L7" i="15" s="1"/>
  <c r="C7" i="15"/>
  <c r="F7" i="15" s="1"/>
  <c r="L10" i="15" l="1"/>
  <c r="M10" i="15" s="1"/>
  <c r="C6" i="13"/>
  <c r="B6" i="13"/>
  <c r="C4" i="13"/>
  <c r="D4" i="13"/>
  <c r="D5" i="13" s="1"/>
  <c r="D6" i="13" s="1"/>
  <c r="E4" i="13"/>
  <c r="F4" i="13"/>
  <c r="B4" i="13"/>
  <c r="F23" i="11" l="1"/>
  <c r="F3" i="13" l="1"/>
  <c r="E5" i="13"/>
  <c r="C17" i="9"/>
  <c r="F5" i="13" l="1"/>
  <c r="G3" i="13"/>
  <c r="G5" i="13" s="1"/>
  <c r="G6" i="13" s="1"/>
  <c r="E6" i="13"/>
  <c r="F6" i="13"/>
  <c r="C8" i="9"/>
  <c r="F29" i="11" l="1"/>
  <c r="C30" i="11" s="1"/>
  <c r="C25" i="11" l="1"/>
  <c r="C29" i="11" l="1"/>
  <c r="C32" i="11" s="1"/>
  <c r="H8" i="9"/>
  <c r="H11" i="9"/>
  <c r="H7" i="15"/>
  <c r="I7" i="15" s="1"/>
  <c r="M7" i="15" s="1"/>
  <c r="M11" i="15" s="1"/>
  <c r="M14" i="15" s="1"/>
  <c r="G15" i="11" s="1"/>
  <c r="H37" i="11" s="1"/>
  <c r="H38" i="11" s="1"/>
  <c r="H39" i="11" s="1"/>
  <c r="H40" i="11" s="1"/>
  <c r="H41" i="11" s="1"/>
  <c r="F8" i="12" l="1"/>
  <c r="F15" i="11" s="1"/>
  <c r="F37" i="11" s="1"/>
  <c r="F38" i="11" s="1"/>
  <c r="F39" i="11" s="1"/>
  <c r="F40" i="11" s="1"/>
  <c r="F41" i="11" s="1"/>
  <c r="C33" i="11"/>
  <c r="F12" i="12" s="1"/>
  <c r="F10" i="12"/>
  <c r="E15" i="11" s="1"/>
  <c r="E37" i="11" s="1"/>
  <c r="G37" i="11" s="1"/>
  <c r="E38" i="11"/>
  <c r="L8" i="9"/>
  <c r="L11" i="9"/>
  <c r="E39" i="11" l="1"/>
  <c r="G38" i="11"/>
  <c r="F11" i="9"/>
  <c r="I11" i="9" s="1"/>
  <c r="M11" i="9" s="1"/>
  <c r="F8" i="9"/>
  <c r="I8" i="9" s="1"/>
  <c r="E40" i="11" l="1"/>
  <c r="G39" i="11"/>
  <c r="M8" i="9"/>
  <c r="M14" i="9" s="1"/>
  <c r="M17" i="9" s="1"/>
  <c r="L8" i="8"/>
  <c r="F8" i="8"/>
  <c r="I8" i="8" s="1"/>
  <c r="E41" i="11" l="1"/>
  <c r="G41" i="11" s="1"/>
  <c r="G40" i="11"/>
  <c r="M8" i="8"/>
  <c r="M11" i="8" s="1"/>
  <c r="D15" i="11" l="1"/>
  <c r="D37" i="11" l="1"/>
  <c r="D38" i="11" s="1"/>
  <c r="D39" i="11" s="1"/>
  <c r="D40" i="11" s="1"/>
  <c r="D41" i="11" s="1"/>
  <c r="M14" i="8"/>
  <c r="C15" i="11" s="1"/>
  <c r="C37" i="11" l="1"/>
  <c r="C38" i="11" s="1"/>
  <c r="C39" i="11" s="1"/>
  <c r="C40" i="11" s="1"/>
  <c r="C41" i="11" s="1"/>
</calcChain>
</file>

<file path=xl/comments1.xml><?xml version="1.0" encoding="utf-8"?>
<comments xmlns="http://schemas.openxmlformats.org/spreadsheetml/2006/main">
  <authors>
    <author>Author</author>
  </authors>
  <commentList>
    <comment ref="I3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$June 2021.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8" authorId="0" shapeId="0">
      <text>
        <r>
          <rPr>
            <sz val="9"/>
            <color indexed="81"/>
            <rFont val="Tahoma"/>
            <family val="2"/>
          </rPr>
          <t>AER draft decision.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Based on 2019 SO volumes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8" authorId="0" shapeId="0">
      <text>
        <r>
          <rPr>
            <sz val="9"/>
            <color indexed="81"/>
            <rFont val="Tahoma"/>
            <family val="2"/>
          </rPr>
          <t>All solar reconfiguration require manual review.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Based on an hourly cash rate of $38 and oncost of 20%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Change in data charges in year 2 due to changes in demand.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Set to 5,000 due to demand elasticity.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Used Goal Seek.
Set cell H20 to equal cell J15 by changing this cell.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All remote failures will be retried and dispatched if mutliple failures</t>
        </r>
      </text>
    </comment>
  </commentList>
</comments>
</file>

<file path=xl/sharedStrings.xml><?xml version="1.0" encoding="utf-8"?>
<sst xmlns="http://schemas.openxmlformats.org/spreadsheetml/2006/main" count="264" uniqueCount="155">
  <si>
    <t>Time on</t>
  </si>
  <si>
    <t>Task</t>
  </si>
  <si>
    <t xml:space="preserve">Task </t>
  </si>
  <si>
    <t>task</t>
  </si>
  <si>
    <t xml:space="preserve">Class of </t>
  </si>
  <si>
    <t xml:space="preserve">No. of </t>
  </si>
  <si>
    <t>Total</t>
  </si>
  <si>
    <t>description</t>
  </si>
  <si>
    <t>(hours)</t>
  </si>
  <si>
    <t>labour</t>
  </si>
  <si>
    <t>Staff</t>
  </si>
  <si>
    <t>time</t>
  </si>
  <si>
    <t>Back Office</t>
  </si>
  <si>
    <t>TOTAL (Ex GST)</t>
  </si>
  <si>
    <t>TOTAL Charge (Ex GST)</t>
  </si>
  <si>
    <t>Item</t>
  </si>
  <si>
    <t>Perform manual validation of service order where work item is created</t>
  </si>
  <si>
    <t>Review and action exception where internal system response/acknowledgement has not been received</t>
  </si>
  <si>
    <t>SO %</t>
  </si>
  <si>
    <t>Impacted</t>
  </si>
  <si>
    <t>No. SO</t>
  </si>
  <si>
    <t>Total cost</t>
  </si>
  <si>
    <t>Assumptions</t>
  </si>
  <si>
    <t>Impacted p.a</t>
  </si>
  <si>
    <t>p.a</t>
  </si>
  <si>
    <t>SERVICE  ORDER PROCESS STEPS (MANUAL ONLY)</t>
  </si>
  <si>
    <t>2. Detailed breakdown as per re-en and de-en analysis has not been done so assumed 50% of total service orders are eligible for remote.</t>
  </si>
  <si>
    <t>Remote Reconfig Charges</t>
  </si>
  <si>
    <t>Perform manual validation of service order including reconfig selection</t>
  </si>
  <si>
    <t>Year</t>
  </si>
  <si>
    <t>Charge</t>
  </si>
  <si>
    <t>Total no. of Reconfig SO's eligible for remote services</t>
  </si>
  <si>
    <t>Total no. of Special Read SO's eligible for remote services</t>
  </si>
  <si>
    <t>Labour cost</t>
  </si>
  <si>
    <t>CPI</t>
  </si>
  <si>
    <t>Nominal $</t>
  </si>
  <si>
    <t>Special Read</t>
  </si>
  <si>
    <t>each year</t>
  </si>
  <si>
    <t>Summary of remote services charges</t>
  </si>
  <si>
    <t>Meter Reconfig</t>
  </si>
  <si>
    <t>Remote special read</t>
  </si>
  <si>
    <t>Remote meter reconfig</t>
  </si>
  <si>
    <t xml:space="preserve">3. Exception % is lower than for other services as service not performed at the meter so is likely to have a higher success rate (request not going to meter). </t>
  </si>
  <si>
    <t xml:space="preserve">Remote Special Read Charges </t>
  </si>
  <si>
    <t>On Costs</t>
  </si>
  <si>
    <t>Raw Labour Rate</t>
  </si>
  <si>
    <t>Field Visit</t>
  </si>
  <si>
    <t>Total Manual Reading Customers</t>
  </si>
  <si>
    <t>Total Labour Cost</t>
  </si>
  <si>
    <t>Field Visits</t>
  </si>
  <si>
    <t>Cycle Meter Reads</t>
  </si>
  <si>
    <t xml:space="preserve">Comms Faults </t>
  </si>
  <si>
    <t>Re-energisation</t>
  </si>
  <si>
    <t>De-energisation</t>
  </si>
  <si>
    <t>Field Visits Per Year</t>
  </si>
  <si>
    <t>Labour Cost per Visit</t>
  </si>
  <si>
    <t>10 min per service order</t>
  </si>
  <si>
    <t>Total no. of  Reconfig SO's completed remotely  (90%)</t>
  </si>
  <si>
    <t>1. SO volumes based on Metering Service Works - Meter Reconfiguration service orders in 2018</t>
  </si>
  <si>
    <t>2. Processing time for review of application takes between 7 mins and 14 mins (depending on quality of paperwork) so an average of 10 mins has been used.</t>
  </si>
  <si>
    <t xml:space="preserve">3. Exception % supports 90% of eligible service orders being processed remotely without further manual 
processing. </t>
  </si>
  <si>
    <t>4. Service order that was cancelled or rejected have been exlcluded from these total volumes</t>
  </si>
  <si>
    <t>5 min per service order (see assumption 3 below)</t>
  </si>
  <si>
    <t>2018 Volumes</t>
  </si>
  <si>
    <t>*All field visits based on actual data April 2018 - March 2019</t>
  </si>
  <si>
    <t>Labour Costs</t>
  </si>
  <si>
    <t>Field Officer Visits</t>
  </si>
  <si>
    <t>Overtime Loading</t>
  </si>
  <si>
    <t>Labour cost per visit (BH)</t>
  </si>
  <si>
    <t>Labour cost per visit (AH)</t>
  </si>
  <si>
    <t>Field Officer Visit BH (Includes manual re-energisation, de-energisation and reconfiguration)</t>
  </si>
  <si>
    <t xml:space="preserve"> Field Officer Visit AH (Includes manual re-energisation, de-energisation and reconfiguration)</t>
  </si>
  <si>
    <t>Cyclic Meter Reading for Basic Meters (Metering Co-orindator Cyclic Read Fee)</t>
  </si>
  <si>
    <t>Field Officer Visit</t>
  </si>
  <si>
    <t>Field Office Visit</t>
  </si>
  <si>
    <t>MC Cyclic Meter Read Fee</t>
  </si>
  <si>
    <t>MC Cyclic Meter Read</t>
  </si>
  <si>
    <t>Labour rate BH ($ p/hr) (real $2021)</t>
  </si>
  <si>
    <t>Total cost BH (real $2021)</t>
  </si>
  <si>
    <t>Labour Support Costs</t>
  </si>
  <si>
    <t>1 charge per annum per customer</t>
  </si>
  <si>
    <t>Total Field Visits</t>
  </si>
  <si>
    <t>Dispatch Costs</t>
  </si>
  <si>
    <t>Data Charges</t>
  </si>
  <si>
    <t>Customers</t>
  </si>
  <si>
    <t>Price per customer (Monthly)</t>
  </si>
  <si>
    <t>Price per customer (Annual)</t>
  </si>
  <si>
    <t>NMI</t>
  </si>
  <si>
    <t>Per Light</t>
  </si>
  <si>
    <t>*10 minutes per dispatch</t>
  </si>
  <si>
    <t>Total weekend re-connections eligible for remote completion</t>
  </si>
  <si>
    <t>Perform manual retry and dispatch.</t>
  </si>
  <si>
    <t>Total service orders requiring intervention</t>
  </si>
  <si>
    <t>Truck Visit Required (remote failure)</t>
  </si>
  <si>
    <t>3. Exceptions assume a 10% failure rate when attempted remotely</t>
  </si>
  <si>
    <t>5. Truck labour cost based on AH connection fee</t>
  </si>
  <si>
    <t>Service truck - Disconnect / Reconnect at pole or pit – After Hours</t>
  </si>
  <si>
    <t xml:space="preserve">4. Data charges cover telecommunication costs for data usage volumes </t>
  </si>
  <si>
    <t>4. Assume 70% of remote failures will ultimately require a truck visit to re-energise property</t>
  </si>
  <si>
    <t>1. SO volumes based on service orders processed in 2018/2019</t>
  </si>
  <si>
    <t>Total no. of  Special Read SO's completed remotely  (92%)</t>
  </si>
  <si>
    <t>4. Manual validation includes attempting retrieve data manually and validate standing data</t>
  </si>
  <si>
    <t>Field Offer AH</t>
  </si>
  <si>
    <t>Priority Re-energisation</t>
  </si>
  <si>
    <t>2021/2022</t>
  </si>
  <si>
    <t>Jan - Jun 2021 &amp; 2022</t>
  </si>
  <si>
    <t>*Includes 4 visits per year for basic meter sites</t>
  </si>
  <si>
    <t>($nominal)</t>
  </si>
  <si>
    <t>1. Non-standard AMI data requests services offered from 2023</t>
  </si>
  <si>
    <t>3. Labour support costs require minimum 2 resources to support system interface and manage exceptions and to cover incidents</t>
  </si>
  <si>
    <t>5. Customers will be offered a monthly subscription service</t>
  </si>
  <si>
    <t>1. SO volumes based on Metering Service Works - Re-connection service orders in 2018/2019</t>
  </si>
  <si>
    <t>2. SO volumes assume a 20% of service order will be requested for weekend or public holiday (outside standard times)</t>
  </si>
  <si>
    <t>EDPR Forecasts Revenue</t>
  </si>
  <si>
    <t>Revenue $</t>
  </si>
  <si>
    <t>Volume</t>
  </si>
  <si>
    <t>Cost</t>
  </si>
  <si>
    <t>Description</t>
  </si>
  <si>
    <t>Remote De-Energisation</t>
  </si>
  <si>
    <t>Remote Meter Re-Configuration</t>
  </si>
  <si>
    <t>Remote Re-Energisation</t>
  </si>
  <si>
    <t>Remote Special Read</t>
  </si>
  <si>
    <t>Grand Total</t>
  </si>
  <si>
    <t>Current Period Costs, Volumes and Revenue</t>
  </si>
  <si>
    <t>2021-2026 Period Costs, Volumes and Revenue</t>
  </si>
  <si>
    <t>Refer to Summary tab</t>
  </si>
  <si>
    <t>Revenue $ (nominal)</t>
  </si>
  <si>
    <t>Non-Standard AMI Data Request</t>
  </si>
  <si>
    <t>Non-Standard AMI Request</t>
  </si>
  <si>
    <t>*Only labour costs</t>
  </si>
  <si>
    <t xml:space="preserve">2. Non-standard request could include measurement data and/or real-time meter information </t>
  </si>
  <si>
    <t>Revenues ($2020-21) NPV</t>
  </si>
  <si>
    <t>Monthly price ($2020-21)</t>
  </si>
  <si>
    <t>Year 2 data charges difference</t>
  </si>
  <si>
    <t>Target revenue</t>
  </si>
  <si>
    <t>Alternative calculation</t>
  </si>
  <si>
    <t>TOTAL</t>
  </si>
  <si>
    <t>X factor</t>
  </si>
  <si>
    <t>Volumes</t>
  </si>
  <si>
    <t>Price</t>
  </si>
  <si>
    <t>Revenues</t>
  </si>
  <si>
    <t xml:space="preserve">CPI </t>
  </si>
  <si>
    <t>Conversion to $2020-21</t>
  </si>
  <si>
    <t>Nominal pretax WACC</t>
  </si>
  <si>
    <t>NPV</t>
  </si>
  <si>
    <t>Service description</t>
  </si>
  <si>
    <t>Business hours ($June 2021)</t>
  </si>
  <si>
    <t>AusNet Services proposal</t>
  </si>
  <si>
    <t>AER draft decision</t>
  </si>
  <si>
    <t>Auxiliary metering services</t>
  </si>
  <si>
    <t>Type 7 metering services</t>
  </si>
  <si>
    <t>Per NMI</t>
  </si>
  <si>
    <t>Field Officer (AFTER HOURS)</t>
  </si>
  <si>
    <t>From draft decision PTRM.</t>
  </si>
  <si>
    <t>Monthly price ($2020-21) - Draft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</si>
</sst>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(&quot;$&quot;* #,##0_);_(&quot;$&quot;* \(#,##0\);_(&quot;$&quot;* &quot;-&quot;_);_(@_)"/>
    <numFmt numFmtId="166" formatCode="_(* #,##0.00_);_(* \(#,##0.00\);_(* &quot;-&quot;??_);_(@_)"/>
    <numFmt numFmtId="167" formatCode="_(* #,##0_);_(* \(#,##0\);_(* &quot;-&quot;??_);_(@_)"/>
    <numFmt numFmtId="168" formatCode="&quot;$&quot;#,##0.00"/>
    <numFmt numFmtId="169" formatCode="&quot;$&quot;#,##0.0000"/>
    <numFmt numFmtId="170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6A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Border="1"/>
    <xf numFmtId="0" fontId="0" fillId="0" borderId="4" xfId="0" applyBorder="1"/>
    <xf numFmtId="167" fontId="0" fillId="0" borderId="0" xfId="1" applyNumberFormat="1" applyFont="1"/>
    <xf numFmtId="0" fontId="0" fillId="0" borderId="0" xfId="0" applyFill="1"/>
    <xf numFmtId="0" fontId="2" fillId="0" borderId="0" xfId="0" applyFont="1"/>
    <xf numFmtId="164" fontId="2" fillId="0" borderId="1" xfId="2" applyFont="1" applyFill="1" applyBorder="1"/>
    <xf numFmtId="0" fontId="0" fillId="0" borderId="0" xfId="0" applyFill="1" applyBorder="1"/>
    <xf numFmtId="166" fontId="1" fillId="0" borderId="0" xfId="1" applyFill="1" applyBorder="1"/>
    <xf numFmtId="166" fontId="1" fillId="0" borderId="0" xfId="1" applyBorder="1"/>
    <xf numFmtId="0" fontId="0" fillId="0" borderId="10" xfId="0" applyFill="1" applyBorder="1"/>
    <xf numFmtId="0" fontId="0" fillId="0" borderId="3" xfId="0" applyFill="1" applyBorder="1"/>
    <xf numFmtId="0" fontId="7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6" fontId="1" fillId="0" borderId="3" xfId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1" xfId="0" applyFont="1" applyFill="1" applyBorder="1"/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166" fontId="7" fillId="0" borderId="5" xfId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Fill="1" applyBorder="1"/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166" fontId="7" fillId="0" borderId="7" xfId="1" applyFont="1" applyFill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/>
    <xf numFmtId="0" fontId="8" fillId="0" borderId="5" xfId="0" applyFont="1" applyFill="1" applyBorder="1"/>
    <xf numFmtId="166" fontId="1" fillId="0" borderId="5" xfId="1" applyFill="1" applyBorder="1"/>
    <xf numFmtId="166" fontId="7" fillId="0" borderId="5" xfId="1" applyFont="1" applyFill="1" applyBorder="1"/>
    <xf numFmtId="166" fontId="7" fillId="0" borderId="4" xfId="1" applyFont="1" applyBorder="1"/>
    <xf numFmtId="166" fontId="7" fillId="0" borderId="10" xfId="1" applyFont="1" applyBorder="1"/>
    <xf numFmtId="0" fontId="0" fillId="0" borderId="10" xfId="0" applyBorder="1"/>
    <xf numFmtId="0" fontId="0" fillId="0" borderId="11" xfId="0" applyFill="1" applyBorder="1"/>
    <xf numFmtId="0" fontId="0" fillId="0" borderId="5" xfId="0" applyFill="1" applyBorder="1"/>
    <xf numFmtId="166" fontId="1" fillId="0" borderId="4" xfId="1" applyBorder="1"/>
    <xf numFmtId="166" fontId="1" fillId="0" borderId="11" xfId="1" applyBorder="1"/>
    <xf numFmtId="0" fontId="0" fillId="0" borderId="11" xfId="0" applyBorder="1"/>
    <xf numFmtId="0" fontId="7" fillId="0" borderId="11" xfId="0" applyFont="1" applyFill="1" applyBorder="1" applyAlignment="1">
      <alignment horizontal="center"/>
    </xf>
    <xf numFmtId="164" fontId="1" fillId="0" borderId="11" xfId="2" applyBorder="1"/>
    <xf numFmtId="0" fontId="0" fillId="0" borderId="12" xfId="0" applyFill="1" applyBorder="1"/>
    <xf numFmtId="0" fontId="0" fillId="0" borderId="9" xfId="0" applyFill="1" applyBorder="1"/>
    <xf numFmtId="166" fontId="1" fillId="0" borderId="9" xfId="1" applyFill="1" applyBorder="1"/>
    <xf numFmtId="164" fontId="1" fillId="0" borderId="8" xfId="2" applyBorder="1"/>
    <xf numFmtId="164" fontId="1" fillId="0" borderId="1" xfId="2" applyBorder="1"/>
    <xf numFmtId="166" fontId="1" fillId="0" borderId="11" xfId="1" applyFill="1" applyBorder="1"/>
    <xf numFmtId="0" fontId="7" fillId="0" borderId="0" xfId="0" applyFont="1" applyFill="1" applyBorder="1" applyAlignment="1">
      <alignment horizontal="right"/>
    </xf>
    <xf numFmtId="166" fontId="1" fillId="0" borderId="0" xfId="1" applyFill="1"/>
    <xf numFmtId="0" fontId="6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right"/>
    </xf>
    <xf numFmtId="166" fontId="1" fillId="0" borderId="10" xfId="1" applyFill="1" applyBorder="1" applyAlignment="1">
      <alignment horizontal="center"/>
    </xf>
    <xf numFmtId="166" fontId="7" fillId="0" borderId="11" xfId="1" applyFont="1" applyFill="1" applyBorder="1" applyAlignment="1">
      <alignment horizontal="center"/>
    </xf>
    <xf numFmtId="166" fontId="7" fillId="0" borderId="12" xfId="1" applyFont="1" applyFill="1" applyBorder="1" applyAlignment="1">
      <alignment horizontal="center"/>
    </xf>
    <xf numFmtId="166" fontId="7" fillId="0" borderId="11" xfId="1" applyFont="1" applyFill="1" applyBorder="1"/>
    <xf numFmtId="9" fontId="1" fillId="0" borderId="11" xfId="1" applyNumberFormat="1" applyFill="1" applyBorder="1" applyAlignment="1">
      <alignment horizontal="right"/>
    </xf>
    <xf numFmtId="3" fontId="0" fillId="0" borderId="0" xfId="0" applyNumberFormat="1"/>
    <xf numFmtId="0" fontId="2" fillId="0" borderId="0" xfId="0" applyFont="1" applyFill="1" applyBorder="1" applyAlignment="1">
      <alignment wrapText="1"/>
    </xf>
    <xf numFmtId="3" fontId="2" fillId="0" borderId="0" xfId="0" applyNumberFormat="1" applyFont="1"/>
    <xf numFmtId="167" fontId="1" fillId="0" borderId="5" xfId="1" applyNumberFormat="1" applyFill="1" applyBorder="1"/>
    <xf numFmtId="164" fontId="1" fillId="0" borderId="5" xfId="2" applyFill="1" applyBorder="1"/>
    <xf numFmtId="0" fontId="9" fillId="0" borderId="0" xfId="0" applyFont="1"/>
    <xf numFmtId="166" fontId="1" fillId="3" borderId="5" xfId="1" applyFill="1" applyBorder="1"/>
    <xf numFmtId="164" fontId="4" fillId="4" borderId="9" xfId="3" applyNumberFormat="1" applyFont="1" applyFill="1" applyBorder="1"/>
    <xf numFmtId="167" fontId="0" fillId="0" borderId="0" xfId="0" applyNumberFormat="1"/>
    <xf numFmtId="0" fontId="7" fillId="0" borderId="10" xfId="0" applyFont="1" applyFill="1" applyBorder="1"/>
    <xf numFmtId="164" fontId="4" fillId="4" borderId="9" xfId="2" applyFont="1" applyFill="1" applyBorder="1"/>
    <xf numFmtId="164" fontId="0" fillId="5" borderId="11" xfId="2" applyNumberFormat="1" applyFont="1" applyFill="1" applyBorder="1"/>
    <xf numFmtId="164" fontId="0" fillId="0" borderId="11" xfId="2" applyFont="1" applyBorder="1"/>
    <xf numFmtId="164" fontId="0" fillId="0" borderId="11" xfId="0" applyNumberFormat="1" applyBorder="1"/>
    <xf numFmtId="10" fontId="0" fillId="0" borderId="0" xfId="0" applyNumberFormat="1"/>
    <xf numFmtId="167" fontId="2" fillId="0" borderId="0" xfId="1" applyNumberFormat="1" applyFont="1"/>
    <xf numFmtId="0" fontId="0" fillId="0" borderId="0" xfId="0" applyAlignment="1">
      <alignment wrapText="1"/>
    </xf>
    <xf numFmtId="0" fontId="8" fillId="0" borderId="11" xfId="0" applyFont="1" applyFill="1" applyBorder="1"/>
    <xf numFmtId="0" fontId="6" fillId="0" borderId="11" xfId="0" applyFont="1" applyFill="1" applyBorder="1" applyAlignment="1">
      <alignment wrapText="1"/>
    </xf>
    <xf numFmtId="0" fontId="0" fillId="0" borderId="5" xfId="0" applyBorder="1"/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2" xfId="0" applyBorder="1"/>
    <xf numFmtId="166" fontId="1" fillId="0" borderId="7" xfId="1" applyFill="1" applyBorder="1"/>
    <xf numFmtId="2" fontId="0" fillId="0" borderId="0" xfId="0" applyNumberFormat="1" applyBorder="1"/>
    <xf numFmtId="1" fontId="0" fillId="0" borderId="0" xfId="0" applyNumberFormat="1"/>
    <xf numFmtId="0" fontId="0" fillId="0" borderId="3" xfId="0" applyBorder="1"/>
    <xf numFmtId="10" fontId="0" fillId="0" borderId="5" xfId="0" applyNumberFormat="1" applyBorder="1"/>
    <xf numFmtId="0" fontId="2" fillId="0" borderId="6" xfId="0" applyFont="1" applyBorder="1"/>
    <xf numFmtId="164" fontId="0" fillId="0" borderId="7" xfId="2" applyFont="1" applyBorder="1"/>
    <xf numFmtId="0" fontId="10" fillId="0" borderId="2" xfId="0" applyFont="1" applyBorder="1"/>
    <xf numFmtId="0" fontId="2" fillId="0" borderId="0" xfId="0" applyFont="1" applyBorder="1"/>
    <xf numFmtId="164" fontId="0" fillId="0" borderId="0" xfId="2" applyFont="1" applyBorder="1"/>
    <xf numFmtId="3" fontId="0" fillId="0" borderId="5" xfId="0" applyNumberFormat="1" applyBorder="1"/>
    <xf numFmtId="0" fontId="2" fillId="0" borderId="2" xfId="0" applyFont="1" applyBorder="1"/>
    <xf numFmtId="1" fontId="0" fillId="0" borderId="0" xfId="0" applyNumberFormat="1" applyBorder="1"/>
    <xf numFmtId="0" fontId="2" fillId="0" borderId="4" xfId="0" applyFont="1" applyBorder="1"/>
    <xf numFmtId="0" fontId="0" fillId="0" borderId="6" xfId="0" applyBorder="1"/>
    <xf numFmtId="0" fontId="0" fillId="0" borderId="13" xfId="0" applyBorder="1"/>
    <xf numFmtId="0" fontId="0" fillId="0" borderId="7" xfId="0" applyBorder="1"/>
    <xf numFmtId="164" fontId="0" fillId="0" borderId="5" xfId="0" applyNumberFormat="1" applyBorder="1"/>
    <xf numFmtId="0" fontId="11" fillId="0" borderId="0" xfId="0" applyFont="1" applyBorder="1"/>
    <xf numFmtId="0" fontId="2" fillId="0" borderId="14" xfId="0" applyFont="1" applyBorder="1"/>
    <xf numFmtId="0" fontId="10" fillId="0" borderId="0" xfId="0" applyFont="1"/>
    <xf numFmtId="0" fontId="0" fillId="0" borderId="4" xfId="0" applyFill="1" applyBorder="1"/>
    <xf numFmtId="164" fontId="0" fillId="0" borderId="5" xfId="2" applyFont="1" applyBorder="1"/>
    <xf numFmtId="0" fontId="2" fillId="6" borderId="15" xfId="0" applyFont="1" applyFill="1" applyBorder="1"/>
    <xf numFmtId="0" fontId="2" fillId="6" borderId="16" xfId="0" applyFont="1" applyFill="1" applyBorder="1" applyAlignment="1">
      <alignment horizontal="right" wrapText="1"/>
    </xf>
    <xf numFmtId="2" fontId="0" fillId="0" borderId="5" xfId="0" applyNumberFormat="1" applyBorder="1"/>
    <xf numFmtId="0" fontId="2" fillId="0" borderId="10" xfId="0" applyFont="1" applyBorder="1"/>
    <xf numFmtId="0" fontId="2" fillId="0" borderId="11" xfId="0" applyFont="1" applyBorder="1"/>
    <xf numFmtId="2" fontId="0" fillId="0" borderId="11" xfId="0" applyNumberFormat="1" applyBorder="1"/>
    <xf numFmtId="0" fontId="2" fillId="7" borderId="17" xfId="0" applyFont="1" applyFill="1" applyBorder="1" applyAlignment="1">
      <alignment horizontal="right" wrapText="1"/>
    </xf>
    <xf numFmtId="0" fontId="2" fillId="0" borderId="12" xfId="0" applyFont="1" applyBorder="1"/>
    <xf numFmtId="0" fontId="2" fillId="7" borderId="15" xfId="0" applyFont="1" applyFill="1" applyBorder="1"/>
    <xf numFmtId="2" fontId="0" fillId="0" borderId="4" xfId="0" applyNumberFormat="1" applyBorder="1"/>
    <xf numFmtId="0" fontId="2" fillId="7" borderId="1" xfId="0" applyFont="1" applyFill="1" applyBorder="1"/>
    <xf numFmtId="0" fontId="0" fillId="0" borderId="1" xfId="0" applyBorder="1"/>
    <xf numFmtId="0" fontId="2" fillId="0" borderId="1" xfId="0" applyFont="1" applyBorder="1"/>
    <xf numFmtId="3" fontId="0" fillId="0" borderId="1" xfId="0" applyNumberFormat="1" applyBorder="1"/>
    <xf numFmtId="168" fontId="0" fillId="0" borderId="1" xfId="0" applyNumberFormat="1" applyBorder="1"/>
    <xf numFmtId="0" fontId="0" fillId="0" borderId="0" xfId="0" applyFont="1"/>
    <xf numFmtId="168" fontId="0" fillId="0" borderId="0" xfId="0" applyNumberFormat="1"/>
    <xf numFmtId="10" fontId="11" fillId="0" borderId="5" xfId="0" applyNumberFormat="1" applyFont="1" applyBorder="1"/>
    <xf numFmtId="164" fontId="11" fillId="0" borderId="7" xfId="2" applyFont="1" applyBorder="1"/>
    <xf numFmtId="165" fontId="0" fillId="0" borderId="5" xfId="0" applyNumberFormat="1" applyFill="1" applyBorder="1"/>
    <xf numFmtId="10" fontId="1" fillId="0" borderId="11" xfId="1" applyNumberFormat="1" applyFill="1" applyBorder="1"/>
    <xf numFmtId="0" fontId="0" fillId="0" borderId="0" xfId="0" applyAlignment="1"/>
    <xf numFmtId="0" fontId="12" fillId="0" borderId="0" xfId="0" applyFont="1" applyAlignment="1">
      <alignment wrapText="1"/>
    </xf>
    <xf numFmtId="164" fontId="0" fillId="0" borderId="0" xfId="0" applyNumberFormat="1"/>
    <xf numFmtId="3" fontId="13" fillId="0" borderId="0" xfId="0" applyNumberFormat="1" applyFont="1"/>
    <xf numFmtId="167" fontId="13" fillId="0" borderId="0" xfId="1" applyNumberFormat="1" applyFont="1" applyFill="1"/>
    <xf numFmtId="0" fontId="13" fillId="7" borderId="10" xfId="0" applyFont="1" applyFill="1" applyBorder="1"/>
    <xf numFmtId="2" fontId="0" fillId="0" borderId="11" xfId="0" applyNumberFormat="1" applyFill="1" applyBorder="1"/>
    <xf numFmtId="0" fontId="2" fillId="7" borderId="3" xfId="0" applyFont="1" applyFill="1" applyBorder="1"/>
    <xf numFmtId="166" fontId="7" fillId="0" borderId="11" xfId="1" applyFont="1" applyBorder="1"/>
    <xf numFmtId="166" fontId="1" fillId="0" borderId="12" xfId="1" applyBorder="1"/>
    <xf numFmtId="168" fontId="11" fillId="5" borderId="11" xfId="0" applyNumberFormat="1" applyFont="1" applyFill="1" applyBorder="1"/>
    <xf numFmtId="168" fontId="0" fillId="5" borderId="11" xfId="0" applyNumberFormat="1" applyFill="1" applyBorder="1"/>
    <xf numFmtId="168" fontId="1" fillId="5" borderId="11" xfId="1" applyNumberFormat="1" applyFill="1" applyBorder="1"/>
    <xf numFmtId="168" fontId="0" fillId="0" borderId="5" xfId="0" applyNumberFormat="1" applyBorder="1"/>
    <xf numFmtId="0" fontId="0" fillId="0" borderId="4" xfId="0" applyBorder="1" applyAlignment="1">
      <alignment horizontal="right"/>
    </xf>
    <xf numFmtId="0" fontId="2" fillId="0" borderId="1" xfId="0" applyFont="1" applyFill="1" applyBorder="1"/>
    <xf numFmtId="3" fontId="0" fillId="0" borderId="1" xfId="0" applyNumberFormat="1" applyFill="1" applyBorder="1"/>
    <xf numFmtId="169" fontId="0" fillId="0" borderId="0" xfId="0" applyNumberFormat="1"/>
    <xf numFmtId="0" fontId="14" fillId="0" borderId="1" xfId="0" applyFont="1" applyBorder="1"/>
    <xf numFmtId="168" fontId="14" fillId="0" borderId="1" xfId="0" applyNumberFormat="1" applyFont="1" applyBorder="1"/>
    <xf numFmtId="0" fontId="15" fillId="0" borderId="0" xfId="0" applyFont="1"/>
    <xf numFmtId="0" fontId="0" fillId="0" borderId="1" xfId="0" applyFont="1" applyFill="1" applyBorder="1"/>
    <xf numFmtId="0" fontId="16" fillId="0" borderId="0" xfId="0" applyFont="1"/>
    <xf numFmtId="167" fontId="0" fillId="0" borderId="1" xfId="1" applyNumberFormat="1" applyFont="1" applyBorder="1"/>
    <xf numFmtId="167" fontId="0" fillId="0" borderId="10" xfId="1" applyNumberFormat="1" applyFont="1" applyBorder="1"/>
    <xf numFmtId="167" fontId="0" fillId="0" borderId="14" xfId="1" applyNumberFormat="1" applyFont="1" applyBorder="1"/>
    <xf numFmtId="0" fontId="2" fillId="7" borderId="11" xfId="0" applyFont="1" applyFill="1" applyBorder="1"/>
    <xf numFmtId="164" fontId="0" fillId="0" borderId="0" xfId="0" applyNumberFormat="1" applyBorder="1"/>
    <xf numFmtId="168" fontId="0" fillId="0" borderId="12" xfId="0" applyNumberFormat="1" applyBorder="1"/>
    <xf numFmtId="0" fontId="0" fillId="8" borderId="0" xfId="0" applyFill="1"/>
    <xf numFmtId="0" fontId="0" fillId="8" borderId="11" xfId="0" applyFill="1" applyBorder="1"/>
    <xf numFmtId="168" fontId="0" fillId="8" borderId="0" xfId="0" applyNumberFormat="1" applyFill="1"/>
    <xf numFmtId="0" fontId="2" fillId="8" borderId="0" xfId="0" applyFont="1" applyFill="1"/>
    <xf numFmtId="3" fontId="0" fillId="8" borderId="0" xfId="0" applyNumberFormat="1" applyFill="1"/>
    <xf numFmtId="0" fontId="2" fillId="8" borderId="0" xfId="0" applyFont="1" applyFill="1" applyBorder="1"/>
    <xf numFmtId="3" fontId="0" fillId="8" borderId="0" xfId="0" applyNumberFormat="1" applyFill="1" applyBorder="1"/>
    <xf numFmtId="170" fontId="2" fillId="8" borderId="8" xfId="0" applyNumberFormat="1" applyFont="1" applyFill="1" applyBorder="1"/>
    <xf numFmtId="170" fontId="2" fillId="8" borderId="18" xfId="0" applyNumberFormat="1" applyFont="1" applyFill="1" applyBorder="1"/>
    <xf numFmtId="170" fontId="2" fillId="8" borderId="9" xfId="0" applyNumberFormat="1" applyFont="1" applyFill="1" applyBorder="1"/>
    <xf numFmtId="164" fontId="0" fillId="8" borderId="0" xfId="2" applyFont="1" applyFill="1"/>
    <xf numFmtId="164" fontId="0" fillId="0" borderId="0" xfId="2" applyFont="1" applyFill="1"/>
    <xf numFmtId="164" fontId="0" fillId="8" borderId="8" xfId="2" applyNumberFormat="1" applyFont="1" applyFill="1" applyBorder="1"/>
    <xf numFmtId="164" fontId="0" fillId="8" borderId="18" xfId="2" applyNumberFormat="1" applyFont="1" applyFill="1" applyBorder="1"/>
    <xf numFmtId="164" fontId="0" fillId="8" borderId="9" xfId="2" applyNumberFormat="1" applyFont="1" applyFill="1" applyBorder="1"/>
    <xf numFmtId="164" fontId="0" fillId="8" borderId="8" xfId="2" applyFont="1" applyFill="1" applyBorder="1"/>
    <xf numFmtId="164" fontId="0" fillId="8" borderId="18" xfId="2" applyFont="1" applyFill="1" applyBorder="1"/>
    <xf numFmtId="164" fontId="0" fillId="8" borderId="9" xfId="2" applyFont="1" applyFill="1" applyBorder="1"/>
    <xf numFmtId="10" fontId="0" fillId="8" borderId="0" xfId="0" applyNumberFormat="1" applyFill="1"/>
    <xf numFmtId="10" fontId="0" fillId="8" borderId="0" xfId="4" applyNumberFormat="1" applyFont="1" applyFill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0" fillId="0" borderId="0" xfId="2" applyNumberFormat="1" applyFont="1" applyAlignment="1">
      <alignment horizontal="center"/>
    </xf>
    <xf numFmtId="2" fontId="0" fillId="8" borderId="0" xfId="0" applyNumberFormat="1" applyFill="1" applyBorder="1"/>
    <xf numFmtId="2" fontId="0" fillId="8" borderId="11" xfId="0" applyNumberFormat="1" applyFill="1" applyBorder="1"/>
    <xf numFmtId="164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166" fontId="2" fillId="0" borderId="8" xfId="1" applyFont="1" applyFill="1" applyBorder="1" applyAlignment="1">
      <alignment horizontal="right"/>
    </xf>
    <xf numFmtId="0" fontId="2" fillId="0" borderId="9" xfId="0" applyFont="1" applyBorder="1" applyAlignment="1">
      <alignment horizontal="right"/>
    </xf>
  </cellXfs>
  <cellStyles count="5">
    <cellStyle name="Accent6" xfId="3" builtinId="49"/>
    <cellStyle name="Comma" xfId="1" builtinId="3"/>
    <cellStyle name="Currency" xfId="2" builtinId="4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C6E6A2"/>
      <color rgb="FF8DB4E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'AMI Data Request (AER)'!$A$20</c:f>
              <c:strCache>
                <c:ptCount val="1"/>
                <c:pt idx="0">
                  <c:v>Revenues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'AMI Data Request (AER)'!$C$16:$G$16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'AMI Data Request (AER)'!$C$20:$G$20</c:f>
              <c:numCache>
                <c:formatCode>_("$"* #,##0.00_);_("$"* \(#,##0.00\);_("$"* "-"??_);_(@_)</c:formatCode>
                <c:ptCount val="5"/>
                <c:pt idx="0" formatCode="General">
                  <c:v>0</c:v>
                </c:pt>
                <c:pt idx="1">
                  <c:v>48081.91244776074</c:v>
                </c:pt>
                <c:pt idx="2">
                  <c:v>96094.009958647337</c:v>
                </c:pt>
                <c:pt idx="3">
                  <c:v>192893.9265144509</c:v>
                </c:pt>
                <c:pt idx="4">
                  <c:v>292224.46107914083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C6-442D-B866-3C0303E10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155200"/>
        <c:axId val="421155528"/>
      </c:lineChart>
      <c:catAx>
        <c:axId val="4211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5528"/>
        <c:crosses val="autoZero"/>
        <c:auto val="1"/>
        <c:lblAlgn val="ctr"/>
        <c:lblOffset val="100"/>
        <c:noMultiLvlLbl val="0"/>
      </c:catAx>
      <c:valAx>
        <c:axId val="42115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'AMI Data Request (AER)'!$A$19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'AMI Data Request (AER)'!$C$16:$G$16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'AMI Data Request (AER)'!$C$19:$G$19</c:f>
              <c:numCache>
                <c:formatCode>0.0000</c:formatCode>
                <c:ptCount val="5"/>
                <c:pt idx="0">
                  <c:v>9.6404643695472778</c:v>
                </c:pt>
                <c:pt idx="1">
                  <c:v>9.6163824895521479</c:v>
                </c:pt>
                <c:pt idx="2">
                  <c:v>9.6094009958647337</c:v>
                </c:pt>
                <c:pt idx="3">
                  <c:v>9.6446963257225455</c:v>
                </c:pt>
                <c:pt idx="4">
                  <c:v>9.7408153693046948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25-448C-925F-2AB83546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155200"/>
        <c:axId val="421155528"/>
      </c:lineChart>
      <c:catAx>
        <c:axId val="4211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5528"/>
        <c:crosses val="autoZero"/>
        <c:auto val="1"/>
        <c:lblAlgn val="ctr"/>
        <c:lblOffset val="100"/>
        <c:noMultiLvlLbl val="0"/>
      </c:catAx>
      <c:valAx>
        <c:axId val="42115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409323</xdr:colOff>
      <xdr:row>6</xdr:row>
      <xdr:rowOff>45134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6665" cy="11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142875</xdr:rowOff>
    </xdr:from>
    <xdr:to>
      <xdr:col>19</xdr:col>
      <xdr:colOff>133350</xdr:colOff>
      <xdr:row>15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438149</xdr:colOff>
      <xdr:row>15</xdr:row>
      <xdr:rowOff>104775</xdr:rowOff>
    </xdr:from>
    <xdr:to>
      <xdr:col>19</xdr:col>
      <xdr:colOff>161924</xdr:colOff>
      <xdr:row>30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lm/AppData/Local/Microsoft/Windows/INetCache/Content.Outlook/MHJLK3U1/Copy%20of%20AusNet%20Services%20-%20Auxiliary%20Metering%20Services%20Charges%20Model%20-%2031%20Januar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orecast Volumes and Revenue"/>
      <sheetName val="2021 Remote Special Reads"/>
      <sheetName val="2021 Remote Reconfig"/>
      <sheetName val="2021 Field Officer Visit"/>
      <sheetName val="Non-Standard AMI Data Request"/>
      <sheetName val="Non-Standard AMI Data Reque (2"/>
      <sheetName val="Sheet5"/>
      <sheetName val="Sheet5 (2)"/>
      <sheetName val="Priority Re-energisation"/>
      <sheetName val="Type-7 Unmete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0</v>
          </cell>
          <cell r="C3">
            <v>0</v>
          </cell>
        </row>
      </sheetData>
      <sheetData sheetId="8">
        <row r="16">
          <cell r="C16">
            <v>2022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tabSelected="1" workbookViewId="0">
      <selection activeCell="C39" sqref="C39"/>
    </sheetView>
  </sheetViews>
  <sheetFormatPr defaultRowHeight="15" x14ac:dyDescent="0.25"/>
  <cols>
    <col min="1" max="1" width="29.5703125" customWidth="1"/>
    <col min="2" max="3" width="25.7109375" customWidth="1"/>
  </cols>
  <sheetData>
    <row r="1" spans="1:3" x14ac:dyDescent="0.25">
      <c r="A1" s="5" t="s">
        <v>145</v>
      </c>
      <c r="B1" s="181" t="s">
        <v>146</v>
      </c>
      <c r="C1" s="181"/>
    </row>
    <row r="2" spans="1:3" x14ac:dyDescent="0.25">
      <c r="A2" s="5" t="s">
        <v>149</v>
      </c>
      <c r="B2" s="174" t="s">
        <v>147</v>
      </c>
      <c r="C2" s="175" t="s">
        <v>148</v>
      </c>
    </row>
    <row r="3" spans="1:3" x14ac:dyDescent="0.25">
      <c r="A3" t="s">
        <v>40</v>
      </c>
      <c r="B3" s="176">
        <v>1.128932459099879</v>
      </c>
      <c r="C3" s="176">
        <f>Summary!C37/(1+Summary!E35)</f>
        <v>0</v>
      </c>
    </row>
    <row r="4" spans="1:3" x14ac:dyDescent="0.25">
      <c r="A4" t="s">
        <v>41</v>
      </c>
      <c r="B4" s="176">
        <v>14.75335177051136</v>
      </c>
      <c r="C4" s="176">
        <f>Summary!D37/(1+Summary!E35)</f>
        <v>14.75335177051136</v>
      </c>
    </row>
    <row r="5" spans="1:3" x14ac:dyDescent="0.25">
      <c r="A5" t="s">
        <v>73</v>
      </c>
      <c r="B5" s="176">
        <v>33.972279592568739</v>
      </c>
      <c r="C5" s="176">
        <f>Summary!F37/(1+Summary!E35)</f>
        <v>33.972279592568739</v>
      </c>
    </row>
    <row r="6" spans="1:3" x14ac:dyDescent="0.25">
      <c r="A6" t="s">
        <v>75</v>
      </c>
      <c r="B6" s="176">
        <v>33.972279592568739</v>
      </c>
      <c r="C6" s="176">
        <f>Summary!F37/(1+Summary!E35)</f>
        <v>33.972279592568739</v>
      </c>
    </row>
    <row r="7" spans="1:3" x14ac:dyDescent="0.25">
      <c r="A7" t="s">
        <v>152</v>
      </c>
      <c r="B7" s="176">
        <v>67.944559185137479</v>
      </c>
      <c r="C7" s="176">
        <f>C5*1.75</f>
        <v>59.451489286995297</v>
      </c>
    </row>
    <row r="8" spans="1:3" x14ac:dyDescent="0.25">
      <c r="A8" t="s">
        <v>103</v>
      </c>
      <c r="B8" s="176">
        <v>32.883845778428501</v>
      </c>
      <c r="C8" s="176">
        <f>Summary!H37/(1+Summary!E35)</f>
        <v>32.883845778428501</v>
      </c>
    </row>
    <row r="9" spans="1:3" x14ac:dyDescent="0.25">
      <c r="A9" t="s">
        <v>128</v>
      </c>
      <c r="B9" s="176">
        <v>0</v>
      </c>
      <c r="C9" s="176">
        <f>Summary!I37</f>
        <v>0.8405664070255835</v>
      </c>
    </row>
    <row r="10" spans="1:3" x14ac:dyDescent="0.25">
      <c r="A10" s="5" t="s">
        <v>150</v>
      </c>
      <c r="B10" s="176"/>
      <c r="C10" s="176"/>
    </row>
    <row r="11" spans="1:3" x14ac:dyDescent="0.25">
      <c r="A11" t="s">
        <v>151</v>
      </c>
      <c r="B11" s="176">
        <f>'Type-7 Unmetered'!E2/(1+'Type-7 Unmetered'!$D$5)</f>
        <v>29.282576866764277</v>
      </c>
      <c r="C11" s="176">
        <f t="shared" ref="C11:C12" si="0">B11</f>
        <v>29.282576866764277</v>
      </c>
    </row>
    <row r="12" spans="1:3" x14ac:dyDescent="0.25">
      <c r="A12" t="s">
        <v>88</v>
      </c>
      <c r="B12" s="176">
        <f>'Type-7 Unmetered'!E3/(1+'Type-7 Unmetered'!$D$5)</f>
        <v>1.7339662499999999</v>
      </c>
      <c r="C12" s="176">
        <f t="shared" si="0"/>
        <v>1.7339662499999999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"/>
  <sheetViews>
    <sheetView workbookViewId="0">
      <selection activeCell="E2" sqref="E2:E3"/>
    </sheetView>
  </sheetViews>
  <sheetFormatPr defaultRowHeight="15" x14ac:dyDescent="0.25"/>
  <cols>
    <col min="1" max="1" width="25" customWidth="1"/>
    <col min="4" max="4" width="12.7109375" customWidth="1"/>
  </cols>
  <sheetData>
    <row r="1" spans="1:9" x14ac:dyDescent="0.25">
      <c r="A1" t="s">
        <v>107</v>
      </c>
      <c r="B1" s="5">
        <v>2019</v>
      </c>
      <c r="C1" s="5">
        <v>2020</v>
      </c>
      <c r="D1" s="5">
        <v>2021</v>
      </c>
      <c r="E1" s="5">
        <v>2022</v>
      </c>
      <c r="F1" s="5">
        <v>2023</v>
      </c>
      <c r="G1" s="5">
        <v>2024</v>
      </c>
      <c r="H1" s="5">
        <v>2025</v>
      </c>
      <c r="I1" s="5">
        <v>2026</v>
      </c>
    </row>
    <row r="2" spans="1:9" x14ac:dyDescent="0.25">
      <c r="A2" t="s">
        <v>87</v>
      </c>
      <c r="D2" s="120">
        <v>30</v>
      </c>
      <c r="E2" s="120">
        <v>30</v>
      </c>
      <c r="F2" s="120">
        <f t="shared" ref="F2:I2" si="0">E2*(1.0245)</f>
        <v>30.734999999999999</v>
      </c>
      <c r="G2" s="120">
        <f t="shared" si="0"/>
        <v>31.488007499999998</v>
      </c>
      <c r="H2" s="120">
        <f t="shared" si="0"/>
        <v>32.259463683749999</v>
      </c>
      <c r="I2" s="120">
        <f t="shared" si="0"/>
        <v>33.049820544001875</v>
      </c>
    </row>
    <row r="3" spans="1:9" x14ac:dyDescent="0.25">
      <c r="A3" t="s">
        <v>88</v>
      </c>
      <c r="B3" s="142">
        <v>1.6924999999999999</v>
      </c>
      <c r="C3" s="142">
        <f>B3*(1+D5)</f>
        <v>1.7339662499999999</v>
      </c>
      <c r="D3" s="142">
        <f>C3*(1+D5)</f>
        <v>1.776448423125</v>
      </c>
      <c r="E3" s="142">
        <f>D3</f>
        <v>1.776448423125</v>
      </c>
      <c r="F3" s="142">
        <f>E3*(1+D5)</f>
        <v>1.8199714094915624</v>
      </c>
      <c r="G3" s="142">
        <f>F3*(1+D5)</f>
        <v>1.8645607090241056</v>
      </c>
      <c r="H3" s="142">
        <f>G3*(1+D5)</f>
        <v>1.9102424463951961</v>
      </c>
      <c r="I3" s="142">
        <f>H3*(1+D5)</f>
        <v>1.9570433863318784</v>
      </c>
    </row>
    <row r="5" spans="1:9" x14ac:dyDescent="0.25">
      <c r="A5" s="5" t="s">
        <v>22</v>
      </c>
      <c r="C5" t="s">
        <v>34</v>
      </c>
      <c r="D5" s="72">
        <v>2.4500000000000001E-2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B7:I50"/>
  <sheetViews>
    <sheetView zoomScale="70" zoomScaleNormal="70" workbookViewId="0">
      <selection activeCell="I37" sqref="I37"/>
    </sheetView>
  </sheetViews>
  <sheetFormatPr defaultRowHeight="15" x14ac:dyDescent="0.25"/>
  <cols>
    <col min="1" max="1" width="4.140625" customWidth="1"/>
    <col min="2" max="2" width="32.28515625" customWidth="1"/>
    <col min="3" max="3" width="21.28515625" customWidth="1"/>
    <col min="4" max="4" width="21.7109375" customWidth="1"/>
    <col min="5" max="5" width="26.140625" customWidth="1"/>
    <col min="6" max="6" width="34.28515625" customWidth="1"/>
    <col min="7" max="7" width="47.140625" customWidth="1"/>
    <col min="8" max="8" width="28.85546875" customWidth="1"/>
    <col min="9" max="9" width="32.85546875" customWidth="1"/>
    <col min="10" max="10" width="28.140625" customWidth="1"/>
  </cols>
  <sheetData>
    <row r="7" spans="2:7" x14ac:dyDescent="0.25">
      <c r="B7" s="5" t="s">
        <v>38</v>
      </c>
    </row>
    <row r="10" spans="2:7" x14ac:dyDescent="0.25">
      <c r="B10" s="10"/>
      <c r="C10" s="12" t="s">
        <v>36</v>
      </c>
      <c r="D10" s="12" t="s">
        <v>39</v>
      </c>
      <c r="E10" s="107" t="s">
        <v>74</v>
      </c>
      <c r="F10" s="107" t="s">
        <v>76</v>
      </c>
      <c r="G10" s="21" t="s">
        <v>103</v>
      </c>
    </row>
    <row r="11" spans="2:7" x14ac:dyDescent="0.25">
      <c r="B11" s="17" t="s">
        <v>29</v>
      </c>
      <c r="C11" s="19" t="s">
        <v>30</v>
      </c>
      <c r="D11" s="54" t="s">
        <v>30</v>
      </c>
      <c r="E11" s="108" t="s">
        <v>30</v>
      </c>
      <c r="F11" s="108" t="s">
        <v>30</v>
      </c>
      <c r="G11" s="38"/>
    </row>
    <row r="12" spans="2:7" x14ac:dyDescent="0.25">
      <c r="B12" s="22"/>
      <c r="C12" s="24"/>
      <c r="D12" s="55"/>
      <c r="E12" s="80"/>
      <c r="F12" s="111"/>
      <c r="G12" s="27"/>
    </row>
    <row r="13" spans="2:7" x14ac:dyDescent="0.25">
      <c r="B13" s="75"/>
      <c r="C13" s="67"/>
      <c r="D13" s="30"/>
      <c r="E13" s="38"/>
      <c r="F13" s="38"/>
      <c r="G13" s="133"/>
    </row>
    <row r="14" spans="2:7" x14ac:dyDescent="0.25">
      <c r="B14" s="76"/>
      <c r="C14" s="38"/>
      <c r="D14" s="77"/>
      <c r="E14" s="38"/>
      <c r="F14" s="38"/>
      <c r="G14" s="37"/>
    </row>
    <row r="15" spans="2:7" x14ac:dyDescent="0.25">
      <c r="B15" s="78" t="s">
        <v>105</v>
      </c>
      <c r="C15" s="69">
        <f>'2021 Remote Special Reads'!M14</f>
        <v>0</v>
      </c>
      <c r="D15" s="69">
        <f>'2021 Remote Reconfig'!M17</f>
        <v>15.114808888888888</v>
      </c>
      <c r="E15" s="135">
        <f>'2021 Field Officer Visit'!F10</f>
        <v>34.804600442586676</v>
      </c>
      <c r="F15" s="136">
        <f>'2021 Field Officer Visit'!F8</f>
        <v>34.804600442586676</v>
      </c>
      <c r="G15" s="137">
        <f>'Priority Re-energisation'!M14</f>
        <v>33.689499999999995</v>
      </c>
    </row>
    <row r="16" spans="2:7" x14ac:dyDescent="0.25">
      <c r="B16" s="78"/>
      <c r="C16" s="71"/>
      <c r="D16" s="71"/>
      <c r="E16" s="38"/>
      <c r="F16" s="38"/>
      <c r="G16" s="37"/>
    </row>
    <row r="17" spans="2:7" x14ac:dyDescent="0.25">
      <c r="B17" s="78"/>
      <c r="C17" s="34"/>
      <c r="D17" s="29"/>
      <c r="E17" s="38"/>
      <c r="F17" s="38"/>
      <c r="G17" s="37"/>
    </row>
    <row r="18" spans="2:7" x14ac:dyDescent="0.25">
      <c r="B18" s="79"/>
      <c r="C18" s="41"/>
      <c r="D18" s="81"/>
      <c r="E18" s="80"/>
      <c r="F18" s="80"/>
      <c r="G18" s="134"/>
    </row>
    <row r="20" spans="2:7" x14ac:dyDescent="0.25">
      <c r="B20" s="101" t="s">
        <v>65</v>
      </c>
    </row>
    <row r="22" spans="2:7" x14ac:dyDescent="0.25">
      <c r="B22" s="88" t="s">
        <v>12</v>
      </c>
      <c r="C22" s="84"/>
      <c r="E22" s="92" t="s">
        <v>49</v>
      </c>
      <c r="F22" s="100" t="s">
        <v>63</v>
      </c>
      <c r="G22" s="84"/>
    </row>
    <row r="23" spans="2:7" x14ac:dyDescent="0.25">
      <c r="B23" s="2" t="s">
        <v>45</v>
      </c>
      <c r="C23" s="98">
        <v>65.2</v>
      </c>
      <c r="D23" s="127"/>
      <c r="E23" s="2" t="s">
        <v>50</v>
      </c>
      <c r="F23" s="93">
        <f>'2021 Field Officer Visit'!C17*4</f>
        <v>48544</v>
      </c>
      <c r="G23" s="77" t="s">
        <v>106</v>
      </c>
    </row>
    <row r="24" spans="2:7" x14ac:dyDescent="0.25">
      <c r="B24" s="2" t="s">
        <v>44</v>
      </c>
      <c r="C24" s="85">
        <v>0.2</v>
      </c>
      <c r="D24" s="127"/>
      <c r="E24" s="2" t="s">
        <v>51</v>
      </c>
      <c r="F24" s="1">
        <v>25191</v>
      </c>
      <c r="G24" s="77"/>
    </row>
    <row r="25" spans="2:7" x14ac:dyDescent="0.25">
      <c r="B25" s="86" t="s">
        <v>33</v>
      </c>
      <c r="C25" s="87">
        <f>C23*(1+C24)</f>
        <v>78.239999999999995</v>
      </c>
      <c r="D25" s="127"/>
      <c r="E25" s="2" t="s">
        <v>52</v>
      </c>
      <c r="F25" s="1">
        <v>2953</v>
      </c>
      <c r="G25" s="77"/>
    </row>
    <row r="26" spans="2:7" x14ac:dyDescent="0.25">
      <c r="E26" s="2" t="s">
        <v>53</v>
      </c>
      <c r="F26" s="1">
        <v>1713</v>
      </c>
      <c r="G26" s="77"/>
    </row>
    <row r="27" spans="2:7" x14ac:dyDescent="0.25">
      <c r="B27" s="88" t="s">
        <v>49</v>
      </c>
      <c r="C27" s="84"/>
      <c r="E27" s="2" t="s">
        <v>39</v>
      </c>
      <c r="F27" s="99">
        <v>1680</v>
      </c>
      <c r="G27" s="77"/>
    </row>
    <row r="28" spans="2:7" x14ac:dyDescent="0.25">
      <c r="B28" s="2" t="s">
        <v>48</v>
      </c>
      <c r="C28" s="123">
        <v>2731837</v>
      </c>
      <c r="D28" s="127"/>
      <c r="E28" s="2" t="s">
        <v>36</v>
      </c>
      <c r="F28" s="1">
        <v>1259</v>
      </c>
      <c r="G28" s="77"/>
    </row>
    <row r="29" spans="2:7" x14ac:dyDescent="0.25">
      <c r="B29" s="2" t="s">
        <v>82</v>
      </c>
      <c r="C29" s="91">
        <f>(SUM(F25:F28)*10)/60*C25</f>
        <v>99169.2</v>
      </c>
      <c r="E29" s="94" t="s">
        <v>81</v>
      </c>
      <c r="F29" s="93">
        <f>SUM(F23:F28)</f>
        <v>81340</v>
      </c>
      <c r="G29" s="98"/>
    </row>
    <row r="30" spans="2:7" x14ac:dyDescent="0.25">
      <c r="B30" s="2" t="s">
        <v>54</v>
      </c>
      <c r="C30" s="91">
        <f>F29</f>
        <v>81340</v>
      </c>
      <c r="D30" s="4"/>
      <c r="E30" s="94"/>
      <c r="F30" s="93"/>
      <c r="G30" s="77"/>
    </row>
    <row r="31" spans="2:7" x14ac:dyDescent="0.25">
      <c r="B31" s="102" t="s">
        <v>67</v>
      </c>
      <c r="C31" s="121">
        <v>2</v>
      </c>
      <c r="E31" s="2" t="s">
        <v>89</v>
      </c>
      <c r="F31" s="1"/>
      <c r="G31" s="77"/>
    </row>
    <row r="32" spans="2:7" x14ac:dyDescent="0.25">
      <c r="B32" s="94" t="s">
        <v>68</v>
      </c>
      <c r="C32" s="103">
        <f>(C28+C29)/C30</f>
        <v>34.804600442586676</v>
      </c>
      <c r="E32" s="95" t="s">
        <v>64</v>
      </c>
      <c r="F32" s="96"/>
      <c r="G32" s="97"/>
    </row>
    <row r="33" spans="2:9" x14ac:dyDescent="0.25">
      <c r="B33" s="86" t="s">
        <v>69</v>
      </c>
      <c r="C33" s="122">
        <f>C32*C31</f>
        <v>69.609200885173351</v>
      </c>
      <c r="E33" s="72"/>
    </row>
    <row r="34" spans="2:9" x14ac:dyDescent="0.25">
      <c r="B34" s="89"/>
      <c r="C34" s="90"/>
      <c r="E34" s="72"/>
    </row>
    <row r="35" spans="2:9" x14ac:dyDescent="0.25">
      <c r="B35" s="89"/>
      <c r="C35" s="90"/>
      <c r="D35" t="s">
        <v>34</v>
      </c>
      <c r="E35" s="72">
        <v>2.4500000000000001E-2</v>
      </c>
      <c r="F35" t="s">
        <v>37</v>
      </c>
    </row>
    <row r="36" spans="2:9" ht="30.75" thickBot="1" x14ac:dyDescent="0.3">
      <c r="B36" s="104" t="s">
        <v>35</v>
      </c>
      <c r="C36" s="105" t="s">
        <v>40</v>
      </c>
      <c r="D36" s="110" t="s">
        <v>41</v>
      </c>
      <c r="E36" s="112" t="s">
        <v>73</v>
      </c>
      <c r="F36" s="114" t="s">
        <v>75</v>
      </c>
      <c r="G36" s="130" t="s">
        <v>102</v>
      </c>
      <c r="H36" s="132" t="s">
        <v>103</v>
      </c>
      <c r="I36" s="151" t="s">
        <v>128</v>
      </c>
    </row>
    <row r="37" spans="2:9" x14ac:dyDescent="0.25">
      <c r="B37" s="139" t="s">
        <v>104</v>
      </c>
      <c r="C37" s="177">
        <f>C15</f>
        <v>0</v>
      </c>
      <c r="D37" s="82">
        <f t="shared" ref="D37:E37" si="0">D15</f>
        <v>15.114808888888888</v>
      </c>
      <c r="E37" s="82">
        <f t="shared" si="0"/>
        <v>34.804600442586676</v>
      </c>
      <c r="F37" s="109">
        <f t="shared" ref="F37" si="1">F15</f>
        <v>34.804600442586676</v>
      </c>
      <c r="G37" s="131">
        <f>E37*2</f>
        <v>69.609200885173351</v>
      </c>
      <c r="H37" s="138">
        <f>G15</f>
        <v>33.689499999999995</v>
      </c>
      <c r="I37" s="178">
        <f>'AMI Data Request (AER)'!C22</f>
        <v>0.8405664070255835</v>
      </c>
    </row>
    <row r="38" spans="2:9" hidden="1" x14ac:dyDescent="0.25">
      <c r="B38" s="2">
        <v>2023</v>
      </c>
      <c r="C38" s="82">
        <f>C37*(1+$E$35)</f>
        <v>0</v>
      </c>
      <c r="D38" s="106">
        <f>D37*(1+$E$35)</f>
        <v>15.485121706666664</v>
      </c>
      <c r="E38" s="113">
        <f>E37*(1+$E$35)</f>
        <v>35.657313153430046</v>
      </c>
      <c r="F38" s="109">
        <f>F37*(1+$E$35)</f>
        <v>35.657313153430046</v>
      </c>
      <c r="G38" s="131">
        <f t="shared" ref="G38:G41" si="2">E38*2</f>
        <v>71.314626306860092</v>
      </c>
      <c r="H38" s="98">
        <f>H37+(1+$E$35)</f>
        <v>34.713999999999999</v>
      </c>
      <c r="I38" s="109">
        <v>181</v>
      </c>
    </row>
    <row r="39" spans="2:9" hidden="1" x14ac:dyDescent="0.25">
      <c r="B39" s="2">
        <f>B38+1</f>
        <v>2024</v>
      </c>
      <c r="C39" s="82">
        <f t="shared" ref="C39:D41" si="3">C38*(1+$E$35)</f>
        <v>0</v>
      </c>
      <c r="D39" s="106">
        <f t="shared" si="3"/>
        <v>15.864507188479998</v>
      </c>
      <c r="E39" s="113">
        <f t="shared" ref="E39:F41" si="4">E38*(1+$E$35)</f>
        <v>36.530917325689082</v>
      </c>
      <c r="F39" s="109">
        <f t="shared" si="4"/>
        <v>36.530917325689082</v>
      </c>
      <c r="G39" s="131">
        <f t="shared" si="2"/>
        <v>73.061834651378163</v>
      </c>
      <c r="H39" s="98">
        <f t="shared" ref="H39:H41" si="5">H38+(1+$E$35)</f>
        <v>35.738500000000002</v>
      </c>
      <c r="I39" s="109">
        <v>19</v>
      </c>
    </row>
    <row r="40" spans="2:9" hidden="1" x14ac:dyDescent="0.25">
      <c r="B40" s="2">
        <f t="shared" ref="B40:B41" si="6">B39+1</f>
        <v>2025</v>
      </c>
      <c r="C40" s="82">
        <f t="shared" si="3"/>
        <v>0</v>
      </c>
      <c r="D40" s="106">
        <f t="shared" si="3"/>
        <v>16.253187614597756</v>
      </c>
      <c r="E40" s="113">
        <f t="shared" si="4"/>
        <v>37.42592480016846</v>
      </c>
      <c r="F40" s="109">
        <f t="shared" si="4"/>
        <v>37.42592480016846</v>
      </c>
      <c r="G40" s="131">
        <f t="shared" si="2"/>
        <v>74.851849600336919</v>
      </c>
      <c r="H40" s="98">
        <f t="shared" si="5"/>
        <v>36.763000000000005</v>
      </c>
      <c r="I40" s="109">
        <v>10.202500000000001</v>
      </c>
    </row>
    <row r="41" spans="2:9" hidden="1" x14ac:dyDescent="0.25">
      <c r="B41" s="2">
        <f t="shared" si="6"/>
        <v>2026</v>
      </c>
      <c r="C41" s="82">
        <f t="shared" si="3"/>
        <v>0</v>
      </c>
      <c r="D41" s="106">
        <f t="shared" si="3"/>
        <v>16.6513907111554</v>
      </c>
      <c r="E41" s="113">
        <f t="shared" si="4"/>
        <v>38.342859957772589</v>
      </c>
      <c r="F41" s="109">
        <f t="shared" si="4"/>
        <v>38.342859957772589</v>
      </c>
      <c r="G41" s="131">
        <f t="shared" si="2"/>
        <v>76.685719915545178</v>
      </c>
      <c r="H41" s="152">
        <f t="shared" si="5"/>
        <v>37.787500000000009</v>
      </c>
      <c r="I41" s="109">
        <v>7.2730375</v>
      </c>
    </row>
    <row r="42" spans="2:9" x14ac:dyDescent="0.25">
      <c r="B42" s="95"/>
      <c r="C42" s="96"/>
      <c r="D42" s="97"/>
      <c r="E42" s="95"/>
      <c r="F42" s="80"/>
      <c r="G42" s="80"/>
      <c r="H42" s="97"/>
      <c r="I42" s="153"/>
    </row>
    <row r="43" spans="2:9" x14ac:dyDescent="0.25">
      <c r="E43" s="1"/>
      <c r="F43" s="1"/>
    </row>
    <row r="45" spans="2:9" x14ac:dyDescent="0.25">
      <c r="C45" s="3"/>
      <c r="D45" s="3"/>
      <c r="E45" s="3"/>
      <c r="F45" s="3"/>
      <c r="G45" s="3"/>
      <c r="H45" s="73"/>
    </row>
    <row r="46" spans="2:9" x14ac:dyDescent="0.25">
      <c r="C46" s="3"/>
      <c r="D46" s="3"/>
      <c r="E46" s="3"/>
      <c r="F46" s="3"/>
      <c r="G46" s="3"/>
      <c r="H46" s="3"/>
    </row>
    <row r="47" spans="2:9" x14ac:dyDescent="0.25">
      <c r="C47" s="3"/>
      <c r="D47" s="3"/>
      <c r="E47" s="3"/>
      <c r="F47" s="3"/>
      <c r="G47" s="3"/>
      <c r="H47" s="3"/>
    </row>
    <row r="48" spans="2:9" x14ac:dyDescent="0.25">
      <c r="C48" s="3"/>
      <c r="D48" s="3"/>
      <c r="E48" s="3"/>
      <c r="F48" s="3"/>
      <c r="G48" s="3"/>
      <c r="H48" s="3"/>
    </row>
    <row r="49" spans="3:8" x14ac:dyDescent="0.25">
      <c r="C49" s="3"/>
      <c r="D49" s="3"/>
      <c r="E49" s="3"/>
      <c r="F49" s="3"/>
      <c r="G49" s="3"/>
      <c r="H49" s="3"/>
    </row>
    <row r="50" spans="3:8" x14ac:dyDescent="0.25">
      <c r="H50" s="3"/>
    </row>
  </sheetData>
  <pageMargins left="0.7" right="0.7" top="0.75" bottom="0.75" header="0.3" footer="0.3"/>
  <pageSetup paperSize="9" orientation="portrait" verticalDpi="0" r:id="rId1"/>
  <ignoredErrors>
    <ignoredError sqref="C29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topLeftCell="B1" workbookViewId="0">
      <selection activeCell="I15" sqref="I15"/>
    </sheetView>
  </sheetViews>
  <sheetFormatPr defaultRowHeight="15" x14ac:dyDescent="0.25"/>
  <cols>
    <col min="1" max="1" width="46.42578125" customWidth="1"/>
    <col min="2" max="2" width="14.7109375" customWidth="1"/>
    <col min="3" max="3" width="18.7109375" customWidth="1"/>
    <col min="4" max="4" width="17.42578125" customWidth="1"/>
    <col min="5" max="5" width="17.85546875" customWidth="1"/>
    <col min="6" max="6" width="18.7109375" customWidth="1"/>
    <col min="7" max="8" width="12.7109375" bestFit="1" customWidth="1"/>
    <col min="9" max="9" width="13.85546875" customWidth="1"/>
    <col min="10" max="13" width="11.5703125" bestFit="1" customWidth="1"/>
    <col min="14" max="14" width="10.5703125" bestFit="1" customWidth="1"/>
    <col min="21" max="21" width="19.85546875" customWidth="1"/>
  </cols>
  <sheetData>
    <row r="1" spans="1:22" x14ac:dyDescent="0.25">
      <c r="A1" s="145" t="s">
        <v>123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5">
      <c r="A2" s="5"/>
      <c r="B2" s="5" t="s">
        <v>114</v>
      </c>
      <c r="C2" s="5"/>
      <c r="D2" s="5"/>
      <c r="E2" s="5"/>
      <c r="F2" s="5"/>
      <c r="G2" s="5"/>
      <c r="H2" s="5"/>
      <c r="I2" s="5" t="s">
        <v>115</v>
      </c>
      <c r="J2" s="5"/>
      <c r="K2" s="5"/>
      <c r="L2" s="5"/>
      <c r="M2" s="5"/>
      <c r="N2" s="5"/>
      <c r="O2" s="5"/>
      <c r="P2" s="5" t="s">
        <v>116</v>
      </c>
      <c r="Q2" s="5"/>
      <c r="R2" s="5"/>
      <c r="S2" s="5"/>
      <c r="T2" s="5"/>
      <c r="U2" s="5"/>
      <c r="V2" s="5"/>
    </row>
    <row r="3" spans="1:22" x14ac:dyDescent="0.25">
      <c r="A3" s="116" t="s">
        <v>117</v>
      </c>
      <c r="B3" s="116">
        <v>2016</v>
      </c>
      <c r="C3" s="116">
        <v>2017</v>
      </c>
      <c r="D3" s="116">
        <v>2018</v>
      </c>
      <c r="E3" s="116">
        <v>2019</v>
      </c>
      <c r="F3" s="116">
        <v>2020</v>
      </c>
      <c r="I3" s="116">
        <v>2016</v>
      </c>
      <c r="J3" s="116">
        <v>2017</v>
      </c>
      <c r="K3" s="116">
        <v>2018</v>
      </c>
      <c r="L3" s="116">
        <v>2019</v>
      </c>
      <c r="M3" s="116">
        <v>2020</v>
      </c>
      <c r="P3" s="107">
        <v>2016</v>
      </c>
      <c r="Q3" s="107">
        <v>2017</v>
      </c>
      <c r="R3" s="107">
        <v>2018</v>
      </c>
      <c r="S3" s="107">
        <v>2019</v>
      </c>
      <c r="T3" s="107">
        <v>2020</v>
      </c>
    </row>
    <row r="4" spans="1:22" x14ac:dyDescent="0.25">
      <c r="A4" s="115" t="s">
        <v>73</v>
      </c>
      <c r="B4" s="118">
        <v>2045401.73</v>
      </c>
      <c r="C4" s="118">
        <v>983135.82000000007</v>
      </c>
      <c r="D4" s="118">
        <v>294497.34000000003</v>
      </c>
      <c r="E4" s="118">
        <v>294497.34000000003</v>
      </c>
      <c r="F4" s="118">
        <v>294497.34000000003</v>
      </c>
      <c r="I4" s="148">
        <v>105250</v>
      </c>
      <c r="J4" s="148">
        <v>42490</v>
      </c>
      <c r="K4" s="148">
        <v>9095</v>
      </c>
      <c r="L4" s="148">
        <v>9095</v>
      </c>
      <c r="M4" s="148">
        <v>9095</v>
      </c>
      <c r="P4" s="118">
        <v>19.43374565320665</v>
      </c>
      <c r="Q4" s="118">
        <v>23.13805177688868</v>
      </c>
      <c r="R4" s="118">
        <v>32.38013633864761</v>
      </c>
      <c r="S4" s="118">
        <v>32.38013633864761</v>
      </c>
      <c r="T4" s="118">
        <v>32.38013633864761</v>
      </c>
      <c r="U4" s="115" t="s">
        <v>129</v>
      </c>
    </row>
    <row r="5" spans="1:22" x14ac:dyDescent="0.25">
      <c r="A5" s="115" t="s">
        <v>118</v>
      </c>
      <c r="B5" s="118">
        <v>177225.22</v>
      </c>
      <c r="C5" s="118">
        <v>294924.56</v>
      </c>
      <c r="D5" s="118">
        <v>364410.04</v>
      </c>
      <c r="E5" s="118">
        <v>375409.32</v>
      </c>
      <c r="F5" s="118">
        <v>384963.14999999997</v>
      </c>
      <c r="I5" s="148">
        <v>28797</v>
      </c>
      <c r="J5" s="148">
        <v>46681</v>
      </c>
      <c r="K5" s="148">
        <v>56199</v>
      </c>
      <c r="L5" s="148">
        <v>56199</v>
      </c>
      <c r="M5" s="148">
        <v>56199</v>
      </c>
      <c r="P5" s="118">
        <v>6.1542945445706154</v>
      </c>
      <c r="Q5" s="118">
        <v>6.3178715108930827</v>
      </c>
      <c r="R5" s="118">
        <v>6.4842797914553634</v>
      </c>
      <c r="S5" s="118">
        <v>6.68</v>
      </c>
      <c r="T5" s="118">
        <v>6.85</v>
      </c>
      <c r="U5" s="115" t="s">
        <v>129</v>
      </c>
    </row>
    <row r="6" spans="1:22" x14ac:dyDescent="0.25">
      <c r="A6" s="115" t="s">
        <v>119</v>
      </c>
      <c r="B6" s="118">
        <v>204647.05</v>
      </c>
      <c r="C6" s="118">
        <v>228660.83</v>
      </c>
      <c r="D6" s="118">
        <v>335444.06999999995</v>
      </c>
      <c r="E6" s="118">
        <v>345924.48000000004</v>
      </c>
      <c r="F6" s="118">
        <v>354984.95999999996</v>
      </c>
      <c r="I6" s="148">
        <v>7519</v>
      </c>
      <c r="J6" s="148">
        <v>8133</v>
      </c>
      <c r="K6" s="148">
        <v>11616</v>
      </c>
      <c r="L6" s="148">
        <v>11616</v>
      </c>
      <c r="M6" s="148">
        <v>11616</v>
      </c>
      <c r="P6" s="118">
        <v>27.217322782284878</v>
      </c>
      <c r="Q6" s="118">
        <v>28.115188737243329</v>
      </c>
      <c r="R6" s="118">
        <v>28.877760847107435</v>
      </c>
      <c r="S6" s="118">
        <v>29.78</v>
      </c>
      <c r="T6" s="118">
        <v>30.56</v>
      </c>
      <c r="U6" s="115" t="s">
        <v>129</v>
      </c>
    </row>
    <row r="7" spans="1:22" x14ac:dyDescent="0.25">
      <c r="A7" s="115" t="s">
        <v>120</v>
      </c>
      <c r="B7" s="118">
        <v>370965.38999999996</v>
      </c>
      <c r="C7" s="118">
        <v>589501.91999999993</v>
      </c>
      <c r="D7" s="118">
        <v>814864.30999999994</v>
      </c>
      <c r="E7" s="118">
        <v>839549.08</v>
      </c>
      <c r="F7" s="118">
        <v>860914.85</v>
      </c>
      <c r="I7" s="148">
        <v>61033</v>
      </c>
      <c r="J7" s="148">
        <v>93306</v>
      </c>
      <c r="K7" s="148">
        <v>125681</v>
      </c>
      <c r="L7" s="148">
        <v>125681</v>
      </c>
      <c r="M7" s="148">
        <v>125681</v>
      </c>
      <c r="P7" s="118">
        <v>6.0781116772893347</v>
      </c>
      <c r="Q7" s="118">
        <v>6.3179422545173933</v>
      </c>
      <c r="R7" s="118">
        <v>6.4835918714841538</v>
      </c>
      <c r="S7" s="118">
        <v>6.68</v>
      </c>
      <c r="T7" s="118">
        <v>6.85</v>
      </c>
      <c r="U7" s="115" t="s">
        <v>129</v>
      </c>
    </row>
    <row r="8" spans="1:22" x14ac:dyDescent="0.25">
      <c r="A8" s="115" t="s">
        <v>121</v>
      </c>
      <c r="B8" s="118">
        <v>15276.599999999999</v>
      </c>
      <c r="C8" s="118">
        <v>20977.230000000003</v>
      </c>
      <c r="D8" s="118">
        <v>15009.609999999999</v>
      </c>
      <c r="E8" s="118">
        <v>15458.3</v>
      </c>
      <c r="F8" s="118">
        <v>15782.6</v>
      </c>
      <c r="I8" s="149">
        <v>11316</v>
      </c>
      <c r="J8" s="149">
        <v>15431</v>
      </c>
      <c r="K8" s="149">
        <v>10810</v>
      </c>
      <c r="L8" s="149">
        <v>10810</v>
      </c>
      <c r="M8" s="149">
        <v>10810</v>
      </c>
      <c r="P8" s="118">
        <v>1.3499999999999999</v>
      </c>
      <c r="Q8" s="118">
        <v>1.3594212947961897</v>
      </c>
      <c r="R8" s="118">
        <v>1.3884930619796483</v>
      </c>
      <c r="S8" s="118">
        <v>1.43</v>
      </c>
      <c r="T8" s="118">
        <v>1.46</v>
      </c>
      <c r="U8" s="115" t="s">
        <v>129</v>
      </c>
    </row>
    <row r="9" spans="1:22" x14ac:dyDescent="0.25">
      <c r="A9" s="143" t="s">
        <v>122</v>
      </c>
      <c r="B9" s="144">
        <f>SUM(B4:B8)</f>
        <v>2813515.99</v>
      </c>
      <c r="C9" s="144">
        <f t="shared" ref="C9:F9" si="0">SUM(C4:C8)</f>
        <v>2117200.3600000003</v>
      </c>
      <c r="D9" s="144">
        <f t="shared" si="0"/>
        <v>1824225.3699999999</v>
      </c>
      <c r="E9" s="144">
        <f t="shared" si="0"/>
        <v>1870838.5200000003</v>
      </c>
      <c r="F9" s="144">
        <f t="shared" si="0"/>
        <v>1911142.9</v>
      </c>
      <c r="I9" s="150"/>
      <c r="J9" s="150"/>
      <c r="K9" s="150"/>
      <c r="L9" s="150"/>
      <c r="M9" s="150"/>
      <c r="P9" s="1"/>
      <c r="Q9" s="1"/>
      <c r="R9" s="1"/>
      <c r="S9" s="1"/>
      <c r="T9" s="1"/>
      <c r="U9" s="1"/>
    </row>
    <row r="11" spans="1:22" x14ac:dyDescent="0.25">
      <c r="A11" s="145" t="s">
        <v>124</v>
      </c>
    </row>
    <row r="12" spans="1:22" x14ac:dyDescent="0.25">
      <c r="B12" s="5" t="s">
        <v>126</v>
      </c>
      <c r="I12" s="5" t="s">
        <v>115</v>
      </c>
      <c r="P12" s="5" t="s">
        <v>116</v>
      </c>
    </row>
    <row r="13" spans="1:22" x14ac:dyDescent="0.25">
      <c r="A13" s="116" t="s">
        <v>113</v>
      </c>
      <c r="B13" s="116">
        <v>2021</v>
      </c>
      <c r="C13" s="116">
        <v>2022</v>
      </c>
      <c r="D13" s="116">
        <v>2023</v>
      </c>
      <c r="E13" s="116">
        <v>2024</v>
      </c>
      <c r="F13" s="116">
        <v>2025</v>
      </c>
      <c r="G13" s="116">
        <v>2026</v>
      </c>
      <c r="I13" s="116">
        <v>2021</v>
      </c>
      <c r="J13" s="116">
        <v>2022</v>
      </c>
      <c r="K13" s="116">
        <v>2023</v>
      </c>
      <c r="L13" s="116">
        <v>2024</v>
      </c>
      <c r="M13" s="116">
        <v>2025</v>
      </c>
      <c r="N13" s="116">
        <v>2026</v>
      </c>
      <c r="P13" s="147" t="s">
        <v>125</v>
      </c>
    </row>
    <row r="14" spans="1:22" x14ac:dyDescent="0.25">
      <c r="A14" s="146" t="s">
        <v>40</v>
      </c>
      <c r="B14" s="118">
        <v>10548.112695652173</v>
      </c>
      <c r="C14" s="118">
        <v>10548.112695652173</v>
      </c>
      <c r="D14" s="118">
        <v>10806.541456695652</v>
      </c>
      <c r="E14" s="118">
        <v>11071.301722384693</v>
      </c>
      <c r="F14" s="118">
        <v>11342.548614583118</v>
      </c>
      <c r="G14" s="118">
        <v>11620.441055640404</v>
      </c>
      <c r="I14" s="148">
        <v>9120</v>
      </c>
      <c r="J14" s="148">
        <v>9120</v>
      </c>
      <c r="K14" s="148">
        <v>9120</v>
      </c>
      <c r="L14" s="148">
        <v>9120</v>
      </c>
      <c r="M14" s="148">
        <v>9120</v>
      </c>
      <c r="N14" s="148">
        <v>9120</v>
      </c>
    </row>
    <row r="15" spans="1:22" x14ac:dyDescent="0.25">
      <c r="A15" s="146" t="s">
        <v>41</v>
      </c>
      <c r="B15" s="118">
        <v>267713.49504000001</v>
      </c>
      <c r="C15" s="118">
        <v>274406.33241599996</v>
      </c>
      <c r="D15" s="118">
        <v>288157.51974919671</v>
      </c>
      <c r="E15" s="118">
        <v>23154.907371474292</v>
      </c>
      <c r="F15" s="118">
        <v>317761.74638452369</v>
      </c>
      <c r="G15" s="118">
        <v>333685.58190021809</v>
      </c>
      <c r="I15" s="148">
        <v>17712</v>
      </c>
      <c r="J15" s="148">
        <v>18154.8</v>
      </c>
      <c r="K15" s="148">
        <v>18608.669999999998</v>
      </c>
      <c r="L15" s="148">
        <v>19073.886749999998</v>
      </c>
      <c r="M15" s="148">
        <v>19550.733918749997</v>
      </c>
      <c r="N15" s="148">
        <v>20039.502266718744</v>
      </c>
    </row>
    <row r="16" spans="1:22" x14ac:dyDescent="0.25">
      <c r="A16" s="146" t="s">
        <v>73</v>
      </c>
      <c r="B16" s="118">
        <v>454241.80129628722</v>
      </c>
      <c r="C16" s="118">
        <v>455782.94900388492</v>
      </c>
      <c r="D16" s="118">
        <v>468568.00972657482</v>
      </c>
      <c r="E16" s="118">
        <v>481747.40542815346</v>
      </c>
      <c r="F16" s="118">
        <v>495334.86148902425</v>
      </c>
      <c r="G16" s="118">
        <v>509344.64322730107</v>
      </c>
      <c r="I16" s="148">
        <v>13051.2</v>
      </c>
      <c r="J16" s="148">
        <v>13095.48</v>
      </c>
      <c r="K16" s="148">
        <v>13140.867</v>
      </c>
      <c r="L16" s="148">
        <v>13187.388675</v>
      </c>
      <c r="M16" s="148">
        <v>13235.073391874999</v>
      </c>
      <c r="N16" s="148">
        <v>13283.950226671874</v>
      </c>
    </row>
    <row r="17" spans="1:14" x14ac:dyDescent="0.25">
      <c r="A17" s="146" t="s">
        <v>75</v>
      </c>
      <c r="B17" s="118">
        <v>0</v>
      </c>
      <c r="C17" s="118">
        <v>226229.9028768134</v>
      </c>
      <c r="D17" s="118">
        <v>224819.35943237643</v>
      </c>
      <c r="E17" s="118">
        <v>223417.61072631556</v>
      </c>
      <c r="F17" s="118">
        <v>222024.60192343692</v>
      </c>
      <c r="G17" s="118">
        <v>220640.27853044431</v>
      </c>
      <c r="I17" s="148">
        <v>0</v>
      </c>
      <c r="J17" s="148">
        <v>6500</v>
      </c>
      <c r="K17" s="148">
        <v>6305</v>
      </c>
      <c r="L17" s="148">
        <v>6115.8499999999995</v>
      </c>
      <c r="M17" s="148">
        <v>5932.374499999999</v>
      </c>
      <c r="N17" s="148">
        <v>5754.403264999999</v>
      </c>
    </row>
    <row r="18" spans="1:14" x14ac:dyDescent="0.25">
      <c r="A18" s="146" t="s">
        <v>102</v>
      </c>
      <c r="B18" s="118">
        <v>25059.312318662407</v>
      </c>
      <c r="C18" s="118">
        <v>25059.312318662407</v>
      </c>
      <c r="D18" s="118">
        <v>25673.265470469632</v>
      </c>
      <c r="E18" s="118">
        <v>26302.260474496139</v>
      </c>
      <c r="F18" s="118">
        <v>26946.66585612129</v>
      </c>
      <c r="G18" s="118">
        <v>27606.859169596264</v>
      </c>
      <c r="I18" s="148">
        <v>360</v>
      </c>
      <c r="J18" s="148">
        <v>360</v>
      </c>
      <c r="K18" s="148">
        <v>360</v>
      </c>
      <c r="L18" s="148">
        <v>360</v>
      </c>
      <c r="M18" s="148">
        <v>360</v>
      </c>
      <c r="N18" s="148">
        <v>360</v>
      </c>
    </row>
    <row r="19" spans="1:14" x14ac:dyDescent="0.25">
      <c r="A19" s="146" t="s">
        <v>103</v>
      </c>
      <c r="B19" s="118">
        <v>0</v>
      </c>
      <c r="C19" s="118">
        <v>772567.61399999994</v>
      </c>
      <c r="D19" s="118">
        <v>796061.44799999997</v>
      </c>
      <c r="E19" s="118">
        <v>819555.28200000001</v>
      </c>
      <c r="F19" s="118">
        <v>843049.11600000015</v>
      </c>
      <c r="G19" s="118">
        <v>866542.95000000019</v>
      </c>
      <c r="I19" s="148">
        <v>0</v>
      </c>
      <c r="J19" s="148">
        <v>22932</v>
      </c>
      <c r="K19" s="148">
        <v>22932</v>
      </c>
      <c r="L19" s="148">
        <v>22932</v>
      </c>
      <c r="M19" s="148">
        <v>22932</v>
      </c>
      <c r="N19" s="148">
        <v>22932</v>
      </c>
    </row>
    <row r="20" spans="1:14" x14ac:dyDescent="0.25">
      <c r="A20" s="146" t="s">
        <v>127</v>
      </c>
      <c r="B20" s="118">
        <v>0</v>
      </c>
      <c r="C20" s="118">
        <v>0</v>
      </c>
      <c r="D20" s="118">
        <f>K20*Summary!I38</f>
        <v>181000</v>
      </c>
      <c r="E20" s="118">
        <f>L20*Summary!I39</f>
        <v>190000</v>
      </c>
      <c r="F20" s="118">
        <f>M20*Summary!I40</f>
        <v>204050</v>
      </c>
      <c r="G20" s="118">
        <f>N20*Summary!I41</f>
        <v>218191.125</v>
      </c>
      <c r="I20" s="117">
        <v>0</v>
      </c>
      <c r="J20" s="117">
        <v>0</v>
      </c>
      <c r="K20" s="117">
        <v>1000</v>
      </c>
      <c r="L20" s="117">
        <v>10000</v>
      </c>
      <c r="M20" s="117">
        <v>20000</v>
      </c>
      <c r="N20" s="141">
        <v>30000</v>
      </c>
    </row>
    <row r="21" spans="1:14" x14ac:dyDescent="0.25">
      <c r="A21" s="143" t="s">
        <v>122</v>
      </c>
      <c r="B21" s="144">
        <f>SUM(B14:B20)</f>
        <v>757562.72135060187</v>
      </c>
      <c r="C21" s="144">
        <f t="shared" ref="C21:G21" si="1">SUM(C14:C20)</f>
        <v>1764594.2233110128</v>
      </c>
      <c r="D21" s="144">
        <f t="shared" si="1"/>
        <v>1995086.1438353132</v>
      </c>
      <c r="E21" s="144">
        <f t="shared" si="1"/>
        <v>1775248.7677228241</v>
      </c>
      <c r="F21" s="144">
        <f t="shared" si="1"/>
        <v>2120509.5402676892</v>
      </c>
      <c r="G21" s="144">
        <f t="shared" si="1"/>
        <v>2187631.8788832007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A1:M21"/>
  <sheetViews>
    <sheetView zoomScaleNormal="100" workbookViewId="0">
      <selection activeCell="I18" sqref="I18"/>
    </sheetView>
  </sheetViews>
  <sheetFormatPr defaultRowHeight="15" x14ac:dyDescent="0.25"/>
  <cols>
    <col min="1" max="1" width="7" customWidth="1"/>
    <col min="2" max="2" width="60.28515625" customWidth="1"/>
    <col min="3" max="3" width="11.28515625" bestFit="1" customWidth="1"/>
    <col min="4" max="4" width="10.85546875" bestFit="1" customWidth="1"/>
    <col min="5" max="5" width="6.85546875" bestFit="1" customWidth="1"/>
    <col min="6" max="6" width="6.7109375" bestFit="1" customWidth="1"/>
    <col min="7" max="7" width="3.28515625" customWidth="1"/>
    <col min="8" max="8" width="16.140625" customWidth="1"/>
    <col min="9" max="9" width="17.85546875" bestFit="1" customWidth="1"/>
    <col min="10" max="10" width="4.140625" customWidth="1"/>
    <col min="11" max="11" width="10.7109375" customWidth="1"/>
    <col min="12" max="12" width="15.5703125" customWidth="1"/>
    <col min="13" max="13" width="16.85546875" customWidth="1"/>
  </cols>
  <sheetData>
    <row r="1" spans="1:13" x14ac:dyDescent="0.25">
      <c r="B1" s="63" t="s">
        <v>43</v>
      </c>
    </row>
    <row r="2" spans="1:13" x14ac:dyDescent="0.25">
      <c r="B2" s="7"/>
      <c r="C2" s="7"/>
      <c r="D2" s="7"/>
      <c r="E2" s="7"/>
      <c r="F2" s="8"/>
      <c r="G2" s="9"/>
      <c r="H2" s="9"/>
      <c r="I2" s="9"/>
      <c r="K2" s="8"/>
    </row>
    <row r="3" spans="1:13" ht="39" x14ac:dyDescent="0.25">
      <c r="A3" s="10"/>
      <c r="B3" s="11"/>
      <c r="C3" s="12" t="s">
        <v>0</v>
      </c>
      <c r="D3" s="13"/>
      <c r="E3" s="13"/>
      <c r="F3" s="14"/>
      <c r="G3" s="15"/>
      <c r="H3" s="16" t="s">
        <v>77</v>
      </c>
      <c r="I3" s="51" t="s">
        <v>78</v>
      </c>
      <c r="K3" s="53"/>
      <c r="L3" s="53"/>
      <c r="M3" s="53"/>
    </row>
    <row r="4" spans="1:13" x14ac:dyDescent="0.25">
      <c r="A4" s="17" t="s">
        <v>1</v>
      </c>
      <c r="B4" s="18" t="s">
        <v>2</v>
      </c>
      <c r="C4" s="19" t="s">
        <v>3</v>
      </c>
      <c r="D4" s="19" t="s">
        <v>4</v>
      </c>
      <c r="E4" s="19" t="s">
        <v>5</v>
      </c>
      <c r="F4" s="20" t="s">
        <v>6</v>
      </c>
      <c r="G4" s="2"/>
      <c r="H4" s="21">
        <v>2021</v>
      </c>
      <c r="I4" s="21">
        <v>2021</v>
      </c>
      <c r="K4" s="54" t="s">
        <v>18</v>
      </c>
      <c r="L4" s="54" t="s">
        <v>20</v>
      </c>
      <c r="M4" s="54" t="s">
        <v>21</v>
      </c>
    </row>
    <row r="5" spans="1:13" x14ac:dyDescent="0.25">
      <c r="A5" s="22" t="s">
        <v>15</v>
      </c>
      <c r="B5" s="23" t="s">
        <v>7</v>
      </c>
      <c r="C5" s="24" t="s">
        <v>8</v>
      </c>
      <c r="D5" s="24" t="s">
        <v>9</v>
      </c>
      <c r="E5" s="24" t="s">
        <v>10</v>
      </c>
      <c r="F5" s="25" t="s">
        <v>11</v>
      </c>
      <c r="G5" s="26"/>
      <c r="H5" s="27"/>
      <c r="I5" s="27"/>
      <c r="K5" s="55" t="s">
        <v>19</v>
      </c>
      <c r="L5" s="55" t="s">
        <v>23</v>
      </c>
      <c r="M5" s="55" t="s">
        <v>24</v>
      </c>
    </row>
    <row r="6" spans="1:13" x14ac:dyDescent="0.25">
      <c r="A6" s="17"/>
      <c r="B6" s="28" t="s">
        <v>25</v>
      </c>
      <c r="C6" s="29"/>
      <c r="D6" s="18"/>
      <c r="E6" s="18"/>
      <c r="F6" s="30"/>
      <c r="G6" s="31"/>
      <c r="H6" s="32"/>
      <c r="I6" s="33"/>
      <c r="K6" s="56"/>
      <c r="L6" s="56"/>
      <c r="M6" s="56"/>
    </row>
    <row r="7" spans="1:13" x14ac:dyDescent="0.25">
      <c r="A7" s="34"/>
      <c r="B7" s="35"/>
      <c r="C7" s="29"/>
      <c r="D7" s="35"/>
      <c r="E7" s="35"/>
      <c r="F7" s="29"/>
      <c r="G7" s="36"/>
      <c r="H7" s="37"/>
      <c r="I7" s="38"/>
      <c r="K7" s="46"/>
      <c r="L7" s="46"/>
      <c r="M7" s="46"/>
    </row>
    <row r="8" spans="1:13" x14ac:dyDescent="0.25">
      <c r="A8" s="39">
        <v>1.1000000000000001</v>
      </c>
      <c r="B8" s="49" t="s">
        <v>16</v>
      </c>
      <c r="C8" s="64">
        <v>0.17</v>
      </c>
      <c r="D8" s="35" t="s">
        <v>12</v>
      </c>
      <c r="E8" s="35">
        <v>1</v>
      </c>
      <c r="F8" s="29">
        <f>E8*C8</f>
        <v>0.17</v>
      </c>
      <c r="G8" s="36"/>
      <c r="H8" s="40">
        <v>0</v>
      </c>
      <c r="I8" s="40">
        <f>H8*$F8</f>
        <v>0</v>
      </c>
      <c r="K8" s="57">
        <v>0.08</v>
      </c>
      <c r="L8" s="61">
        <f>C13*K8</f>
        <v>829.2</v>
      </c>
      <c r="M8" s="62">
        <f>L8*I8</f>
        <v>0</v>
      </c>
    </row>
    <row r="9" spans="1:13" x14ac:dyDescent="0.25">
      <c r="A9" s="39"/>
      <c r="B9" s="50" t="s">
        <v>56</v>
      </c>
      <c r="C9" s="64"/>
      <c r="D9" s="35"/>
      <c r="E9" s="35"/>
      <c r="F9" s="29"/>
      <c r="G9" s="36"/>
      <c r="H9" s="37"/>
      <c r="I9" s="40"/>
      <c r="K9" s="46"/>
      <c r="L9" s="29"/>
      <c r="M9" s="29"/>
    </row>
    <row r="10" spans="1:13" x14ac:dyDescent="0.25">
      <c r="A10" s="39"/>
      <c r="B10" s="50"/>
      <c r="C10" s="64"/>
      <c r="D10" s="35"/>
      <c r="E10" s="35"/>
      <c r="F10" s="29"/>
      <c r="G10" s="36"/>
      <c r="H10" s="37"/>
      <c r="I10" s="40"/>
      <c r="K10" s="46"/>
      <c r="L10" s="29"/>
      <c r="M10" s="29"/>
    </row>
    <row r="11" spans="1:13" x14ac:dyDescent="0.25">
      <c r="A11" s="41"/>
      <c r="B11" s="52"/>
      <c r="C11" s="42"/>
      <c r="D11" s="42"/>
      <c r="E11" s="42"/>
      <c r="F11" s="43"/>
      <c r="G11" s="44"/>
      <c r="H11" s="45"/>
      <c r="I11" s="45"/>
      <c r="K11" s="182" t="s">
        <v>13</v>
      </c>
      <c r="L11" s="183"/>
      <c r="M11" s="6">
        <f>M8</f>
        <v>0</v>
      </c>
    </row>
    <row r="13" spans="1:13" x14ac:dyDescent="0.25">
      <c r="B13" s="59" t="s">
        <v>32</v>
      </c>
      <c r="C13" s="128">
        <v>10365</v>
      </c>
    </row>
    <row r="14" spans="1:13" x14ac:dyDescent="0.25">
      <c r="B14" s="59" t="s">
        <v>100</v>
      </c>
      <c r="C14" s="129">
        <f>C13*92%</f>
        <v>9535.8000000000011</v>
      </c>
      <c r="D14" s="4"/>
      <c r="E14" s="4"/>
      <c r="F14" s="48"/>
      <c r="G14" s="8"/>
      <c r="H14" s="9"/>
      <c r="I14" s="47" t="s">
        <v>14</v>
      </c>
      <c r="M14" s="68">
        <f>M11/C14</f>
        <v>0</v>
      </c>
    </row>
    <row r="15" spans="1:13" x14ac:dyDescent="0.25">
      <c r="B15" s="59"/>
    </row>
    <row r="17" spans="2:12" x14ac:dyDescent="0.25">
      <c r="B17" s="60" t="s">
        <v>22</v>
      </c>
    </row>
    <row r="18" spans="2:12" x14ac:dyDescent="0.25">
      <c r="B18" s="58" t="s">
        <v>99</v>
      </c>
    </row>
    <row r="19" spans="2:12" x14ac:dyDescent="0.25">
      <c r="B19" t="s">
        <v>26</v>
      </c>
      <c r="L19" s="66"/>
    </row>
    <row r="20" spans="2:12" x14ac:dyDescent="0.25">
      <c r="B20" t="s">
        <v>42</v>
      </c>
    </row>
    <row r="21" spans="2:12" x14ac:dyDescent="0.25">
      <c r="B21" t="s">
        <v>101</v>
      </c>
    </row>
  </sheetData>
  <mergeCells count="1">
    <mergeCell ref="K11:L11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M25"/>
  <sheetViews>
    <sheetView zoomScale="70" zoomScaleNormal="70" workbookViewId="0">
      <selection activeCell="M11" sqref="M11"/>
    </sheetView>
  </sheetViews>
  <sheetFormatPr defaultRowHeight="15" x14ac:dyDescent="0.25"/>
  <cols>
    <col min="1" max="1" width="7" customWidth="1"/>
    <col min="2" max="2" width="60.28515625" customWidth="1"/>
    <col min="3" max="3" width="13.28515625" customWidth="1"/>
    <col min="4" max="4" width="10.85546875" bestFit="1" customWidth="1"/>
    <col min="5" max="5" width="6.85546875" bestFit="1" customWidth="1"/>
    <col min="6" max="6" width="6.7109375" bestFit="1" customWidth="1"/>
    <col min="7" max="7" width="3.28515625" customWidth="1"/>
    <col min="8" max="8" width="16.42578125" customWidth="1"/>
    <col min="9" max="9" width="17.85546875" bestFit="1" customWidth="1"/>
    <col min="10" max="10" width="2.42578125" customWidth="1"/>
    <col min="11" max="11" width="10.5703125" bestFit="1" customWidth="1"/>
    <col min="12" max="12" width="17.85546875" customWidth="1"/>
    <col min="13" max="13" width="21.5703125" customWidth="1"/>
  </cols>
  <sheetData>
    <row r="1" spans="1:13" x14ac:dyDescent="0.25">
      <c r="B1" s="63" t="s">
        <v>27</v>
      </c>
    </row>
    <row r="2" spans="1:13" ht="21.75" customHeight="1" x14ac:dyDescent="0.25">
      <c r="B2" s="7"/>
      <c r="C2" s="7"/>
      <c r="D2" s="7"/>
      <c r="E2" s="7"/>
      <c r="F2" s="8"/>
      <c r="G2" s="9"/>
      <c r="H2" s="9"/>
      <c r="I2" s="9"/>
      <c r="K2" s="8"/>
    </row>
    <row r="3" spans="1:13" ht="39" x14ac:dyDescent="0.25">
      <c r="A3" s="10"/>
      <c r="B3" s="11"/>
      <c r="C3" s="12" t="s">
        <v>0</v>
      </c>
      <c r="D3" s="13"/>
      <c r="E3" s="13"/>
      <c r="F3" s="14"/>
      <c r="G3" s="15"/>
      <c r="H3" s="16" t="s">
        <v>77</v>
      </c>
      <c r="I3" s="51" t="s">
        <v>78</v>
      </c>
      <c r="K3" s="53"/>
      <c r="L3" s="53"/>
      <c r="M3" s="53"/>
    </row>
    <row r="4" spans="1:13" x14ac:dyDescent="0.25">
      <c r="A4" s="17" t="s">
        <v>1</v>
      </c>
      <c r="B4" s="18" t="s">
        <v>2</v>
      </c>
      <c r="C4" s="19" t="s">
        <v>3</v>
      </c>
      <c r="D4" s="19" t="s">
        <v>4</v>
      </c>
      <c r="E4" s="19" t="s">
        <v>5</v>
      </c>
      <c r="F4" s="20" t="s">
        <v>6</v>
      </c>
      <c r="G4" s="2"/>
      <c r="H4" s="21">
        <v>2021</v>
      </c>
      <c r="I4" s="21">
        <v>2021</v>
      </c>
      <c r="K4" s="54" t="s">
        <v>18</v>
      </c>
      <c r="L4" s="54" t="s">
        <v>20</v>
      </c>
      <c r="M4" s="54" t="s">
        <v>21</v>
      </c>
    </row>
    <row r="5" spans="1:13" x14ac:dyDescent="0.25">
      <c r="A5" s="22" t="s">
        <v>15</v>
      </c>
      <c r="B5" s="23" t="s">
        <v>7</v>
      </c>
      <c r="C5" s="24" t="s">
        <v>8</v>
      </c>
      <c r="D5" s="24" t="s">
        <v>9</v>
      </c>
      <c r="E5" s="24" t="s">
        <v>10</v>
      </c>
      <c r="F5" s="25" t="s">
        <v>11</v>
      </c>
      <c r="G5" s="26"/>
      <c r="H5" s="27"/>
      <c r="I5" s="27"/>
      <c r="K5" s="55" t="s">
        <v>19</v>
      </c>
      <c r="L5" s="55" t="s">
        <v>23</v>
      </c>
      <c r="M5" s="55" t="s">
        <v>24</v>
      </c>
    </row>
    <row r="6" spans="1:13" x14ac:dyDescent="0.25">
      <c r="A6" s="17"/>
      <c r="B6" s="28" t="s">
        <v>25</v>
      </c>
      <c r="C6" s="29"/>
      <c r="D6" s="18"/>
      <c r="E6" s="18"/>
      <c r="F6" s="30"/>
      <c r="G6" s="31"/>
      <c r="H6" s="32"/>
      <c r="I6" s="33"/>
      <c r="K6" s="56"/>
      <c r="L6" s="56"/>
      <c r="M6" s="56"/>
    </row>
    <row r="7" spans="1:13" x14ac:dyDescent="0.25">
      <c r="A7" s="34"/>
      <c r="B7" s="35"/>
      <c r="C7" s="29"/>
      <c r="D7" s="35"/>
      <c r="E7" s="35"/>
      <c r="F7" s="29"/>
      <c r="G7" s="36"/>
      <c r="H7" s="37"/>
      <c r="I7" s="38"/>
      <c r="K7" s="46"/>
      <c r="L7" s="46"/>
      <c r="M7" s="46"/>
    </row>
    <row r="8" spans="1:13" x14ac:dyDescent="0.25">
      <c r="A8" s="39">
        <v>1.1000000000000001</v>
      </c>
      <c r="B8" s="49" t="s">
        <v>28</v>
      </c>
      <c r="C8" s="64">
        <f>10/60</f>
        <v>0.16666666666666666</v>
      </c>
      <c r="D8" s="35" t="s">
        <v>12</v>
      </c>
      <c r="E8" s="35">
        <v>1</v>
      </c>
      <c r="F8" s="29">
        <f>E8*C8</f>
        <v>0.16666666666666666</v>
      </c>
      <c r="G8" s="36"/>
      <c r="H8" s="70">
        <f>Summary!C25</f>
        <v>78.239999999999995</v>
      </c>
      <c r="I8" s="40">
        <f>H8*$F8</f>
        <v>13.04</v>
      </c>
      <c r="K8" s="57">
        <v>1</v>
      </c>
      <c r="L8" s="61">
        <f>C16*K8</f>
        <v>15406</v>
      </c>
      <c r="M8" s="62">
        <f>L8*I8</f>
        <v>200894.24</v>
      </c>
    </row>
    <row r="9" spans="1:13" x14ac:dyDescent="0.25">
      <c r="A9" s="39"/>
      <c r="B9" s="50" t="s">
        <v>56</v>
      </c>
      <c r="C9" s="64"/>
      <c r="D9" s="35"/>
      <c r="E9" s="35"/>
      <c r="F9" s="29"/>
      <c r="G9" s="36"/>
      <c r="H9" s="37"/>
      <c r="I9" s="40"/>
      <c r="K9" s="46"/>
      <c r="L9" s="29"/>
      <c r="M9" s="29"/>
    </row>
    <row r="10" spans="1:13" x14ac:dyDescent="0.25">
      <c r="A10" s="39"/>
      <c r="B10" s="50"/>
      <c r="C10" s="64"/>
      <c r="D10" s="35"/>
      <c r="E10" s="35"/>
      <c r="F10" s="29"/>
      <c r="G10" s="36"/>
      <c r="H10" s="37"/>
      <c r="I10" s="40"/>
      <c r="K10" s="46"/>
      <c r="L10" s="29"/>
      <c r="M10" s="29"/>
    </row>
    <row r="11" spans="1:13" ht="30" x14ac:dyDescent="0.25">
      <c r="A11" s="39">
        <v>1.2</v>
      </c>
      <c r="B11" s="50" t="s">
        <v>17</v>
      </c>
      <c r="C11" s="64">
        <v>0.08</v>
      </c>
      <c r="D11" s="35" t="s">
        <v>12</v>
      </c>
      <c r="E11" s="35">
        <v>1</v>
      </c>
      <c r="F11" s="29">
        <f>E11*C11</f>
        <v>0.08</v>
      </c>
      <c r="G11" s="36"/>
      <c r="H11" s="70">
        <f>Summary!C25</f>
        <v>78.239999999999995</v>
      </c>
      <c r="I11" s="40">
        <f>H11*$F11</f>
        <v>6.2591999999999999</v>
      </c>
      <c r="K11" s="57">
        <v>0.1</v>
      </c>
      <c r="L11" s="61">
        <f>C17*K11</f>
        <v>1386.54</v>
      </c>
      <c r="M11" s="62">
        <f>L11*I11</f>
        <v>8678.6311679999999</v>
      </c>
    </row>
    <row r="12" spans="1:13" x14ac:dyDescent="0.25">
      <c r="A12" s="39"/>
      <c r="B12" s="50" t="s">
        <v>62</v>
      </c>
      <c r="C12" s="64"/>
      <c r="D12" s="35"/>
      <c r="E12" s="35"/>
      <c r="F12" s="29"/>
      <c r="G12" s="36"/>
      <c r="H12" s="40"/>
      <c r="I12" s="40"/>
      <c r="K12" s="46"/>
      <c r="L12" s="29"/>
      <c r="M12" s="29"/>
    </row>
    <row r="13" spans="1:13" x14ac:dyDescent="0.25">
      <c r="A13" s="39"/>
      <c r="B13" s="50"/>
      <c r="C13" s="64"/>
      <c r="D13" s="35"/>
      <c r="E13" s="35"/>
      <c r="F13" s="29"/>
      <c r="G13" s="36"/>
      <c r="H13" s="40"/>
      <c r="I13" s="40"/>
      <c r="K13" s="46"/>
      <c r="L13" s="29"/>
      <c r="M13" s="29"/>
    </row>
    <row r="14" spans="1:13" x14ac:dyDescent="0.25">
      <c r="A14" s="41"/>
      <c r="B14" s="52"/>
      <c r="C14" s="42"/>
      <c r="D14" s="42"/>
      <c r="E14" s="42"/>
      <c r="F14" s="43"/>
      <c r="G14" s="44"/>
      <c r="H14" s="45"/>
      <c r="I14" s="45"/>
      <c r="K14" s="182" t="s">
        <v>13</v>
      </c>
      <c r="L14" s="183"/>
      <c r="M14" s="6">
        <f>M11+M8</f>
        <v>209572.87116799998</v>
      </c>
    </row>
    <row r="16" spans="1:13" x14ac:dyDescent="0.25">
      <c r="B16" s="59" t="s">
        <v>31</v>
      </c>
      <c r="C16" s="60">
        <v>15406</v>
      </c>
    </row>
    <row r="17" spans="2:13" x14ac:dyDescent="0.25">
      <c r="B17" s="59" t="s">
        <v>57</v>
      </c>
      <c r="C17" s="60">
        <f>C16*0.9</f>
        <v>13865.4</v>
      </c>
      <c r="H17" s="9"/>
      <c r="I17" s="47" t="s">
        <v>14</v>
      </c>
      <c r="M17" s="65">
        <f>M14/C17</f>
        <v>15.114808888888888</v>
      </c>
    </row>
    <row r="18" spans="2:13" x14ac:dyDescent="0.25">
      <c r="C18" s="60"/>
      <c r="H18" s="9"/>
      <c r="I18" s="47"/>
    </row>
    <row r="19" spans="2:13" x14ac:dyDescent="0.25">
      <c r="C19" s="4"/>
      <c r="D19" s="4"/>
      <c r="E19" s="4"/>
      <c r="F19" s="48"/>
      <c r="G19" s="8"/>
    </row>
    <row r="20" spans="2:13" x14ac:dyDescent="0.25">
      <c r="B20" s="60" t="s">
        <v>22</v>
      </c>
    </row>
    <row r="21" spans="2:13" x14ac:dyDescent="0.25">
      <c r="B21" s="58" t="s">
        <v>58</v>
      </c>
    </row>
    <row r="22" spans="2:13" x14ac:dyDescent="0.25">
      <c r="B22" t="s">
        <v>59</v>
      </c>
    </row>
    <row r="23" spans="2:13" ht="45" x14ac:dyDescent="0.25">
      <c r="B23" s="74" t="s">
        <v>60</v>
      </c>
      <c r="C23" s="60"/>
      <c r="M23" s="66"/>
    </row>
    <row r="24" spans="2:13" x14ac:dyDescent="0.25">
      <c r="B24" t="s">
        <v>61</v>
      </c>
    </row>
    <row r="25" spans="2:13" x14ac:dyDescent="0.25">
      <c r="B25" s="74"/>
      <c r="M25" s="66"/>
    </row>
  </sheetData>
  <mergeCells count="1">
    <mergeCell ref="K14:L1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8"/>
  <sheetViews>
    <sheetView zoomScale="85" zoomScaleNormal="85" workbookViewId="0">
      <selection activeCell="F12" sqref="F12"/>
    </sheetView>
  </sheetViews>
  <sheetFormatPr defaultRowHeight="15" x14ac:dyDescent="0.25"/>
  <cols>
    <col min="2" max="2" width="40.7109375" customWidth="1"/>
    <col min="3" max="3" width="11.7109375" customWidth="1"/>
    <col min="4" max="4" width="15.7109375" customWidth="1"/>
    <col min="6" max="6" width="17.7109375" customWidth="1"/>
    <col min="7" max="7" width="18.7109375" customWidth="1"/>
  </cols>
  <sheetData>
    <row r="1" spans="1:6" x14ac:dyDescent="0.25">
      <c r="B1" s="63" t="s">
        <v>66</v>
      </c>
    </row>
    <row r="2" spans="1:6" x14ac:dyDescent="0.25">
      <c r="B2" s="7"/>
      <c r="C2" s="7"/>
      <c r="D2" s="7"/>
      <c r="E2" s="9"/>
      <c r="F2" s="9"/>
    </row>
    <row r="3" spans="1:6" ht="26.25" x14ac:dyDescent="0.25">
      <c r="A3" s="10"/>
      <c r="B3" s="11"/>
      <c r="C3" s="12"/>
      <c r="D3" s="13"/>
      <c r="E3" s="15"/>
      <c r="F3" s="51" t="s">
        <v>55</v>
      </c>
    </row>
    <row r="4" spans="1:6" x14ac:dyDescent="0.25">
      <c r="A4" s="17" t="s">
        <v>1</v>
      </c>
      <c r="B4" s="18" t="s">
        <v>2</v>
      </c>
      <c r="C4" s="19"/>
      <c r="D4" s="19" t="s">
        <v>4</v>
      </c>
      <c r="E4" s="2"/>
      <c r="F4" s="21">
        <v>2021</v>
      </c>
    </row>
    <row r="5" spans="1:6" x14ac:dyDescent="0.25">
      <c r="A5" s="22" t="s">
        <v>15</v>
      </c>
      <c r="B5" s="23" t="s">
        <v>7</v>
      </c>
      <c r="C5" s="24"/>
      <c r="D5" s="24" t="s">
        <v>9</v>
      </c>
      <c r="E5" s="26"/>
      <c r="F5" s="27"/>
    </row>
    <row r="6" spans="1:6" x14ac:dyDescent="0.25">
      <c r="A6" s="17"/>
      <c r="B6" s="28" t="s">
        <v>25</v>
      </c>
      <c r="C6" s="29"/>
      <c r="D6" s="18"/>
      <c r="E6" s="31"/>
      <c r="F6" s="32"/>
    </row>
    <row r="7" spans="1:6" x14ac:dyDescent="0.25">
      <c r="A7" s="34"/>
      <c r="B7" s="35"/>
      <c r="C7" s="29"/>
      <c r="D7" s="35"/>
      <c r="E7" s="36"/>
      <c r="F7" s="37"/>
    </row>
    <row r="8" spans="1:6" ht="26.25" x14ac:dyDescent="0.25">
      <c r="A8" s="39">
        <v>1.1000000000000001</v>
      </c>
      <c r="B8" s="49" t="s">
        <v>72</v>
      </c>
      <c r="C8" s="64"/>
      <c r="D8" s="35" t="s">
        <v>46</v>
      </c>
      <c r="E8" s="36"/>
      <c r="F8" s="40">
        <f>Summary!C32</f>
        <v>34.804600442586676</v>
      </c>
    </row>
    <row r="9" spans="1:6" x14ac:dyDescent="0.25">
      <c r="A9" s="39"/>
      <c r="B9" s="50"/>
      <c r="C9" s="64"/>
      <c r="D9" s="35"/>
      <c r="E9" s="36"/>
      <c r="F9" s="37"/>
    </row>
    <row r="10" spans="1:6" ht="45" x14ac:dyDescent="0.25">
      <c r="A10" s="39">
        <v>1.2</v>
      </c>
      <c r="B10" s="50" t="s">
        <v>70</v>
      </c>
      <c r="C10" s="64"/>
      <c r="D10" s="35" t="s">
        <v>46</v>
      </c>
      <c r="E10" s="36"/>
      <c r="F10" s="40">
        <f>Summary!C32</f>
        <v>34.804600442586676</v>
      </c>
    </row>
    <row r="11" spans="1:6" x14ac:dyDescent="0.25">
      <c r="A11" s="39"/>
      <c r="B11" s="50"/>
      <c r="C11" s="64"/>
      <c r="D11" s="35"/>
      <c r="E11" s="36"/>
      <c r="F11" s="40"/>
    </row>
    <row r="12" spans="1:6" ht="45" x14ac:dyDescent="0.25">
      <c r="A12" s="39">
        <v>1.2</v>
      </c>
      <c r="B12" s="50" t="s">
        <v>71</v>
      </c>
      <c r="C12" s="64"/>
      <c r="D12" s="35" t="s">
        <v>46</v>
      </c>
      <c r="E12" s="36"/>
      <c r="F12" s="40">
        <f>Summary!C33</f>
        <v>69.609200885173351</v>
      </c>
    </row>
    <row r="13" spans="1:6" x14ac:dyDescent="0.25">
      <c r="A13" s="39"/>
      <c r="B13" s="50"/>
      <c r="C13" s="64"/>
      <c r="D13" s="35"/>
      <c r="E13" s="36"/>
      <c r="F13" s="40"/>
    </row>
    <row r="14" spans="1:6" x14ac:dyDescent="0.25">
      <c r="A14" s="41"/>
      <c r="B14" s="52"/>
      <c r="C14" s="42"/>
      <c r="D14" s="42"/>
      <c r="E14" s="44"/>
      <c r="F14" s="45"/>
    </row>
    <row r="16" spans="1:6" x14ac:dyDescent="0.25">
      <c r="B16" s="5" t="s">
        <v>22</v>
      </c>
    </row>
    <row r="17" spans="2:3" x14ac:dyDescent="0.25">
      <c r="B17" s="119" t="s">
        <v>47</v>
      </c>
      <c r="C17" s="83">
        <v>12136</v>
      </c>
    </row>
    <row r="18" spans="2:3" x14ac:dyDescent="0.25">
      <c r="B18" s="119" t="s">
        <v>80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4"/>
  <sheetViews>
    <sheetView workbookViewId="0">
      <selection activeCell="B3" sqref="B3:G4"/>
    </sheetView>
  </sheetViews>
  <sheetFormatPr defaultRowHeight="15" x14ac:dyDescent="0.25"/>
  <cols>
    <col min="1" max="1" width="28.7109375" customWidth="1"/>
    <col min="2" max="2" width="17.7109375" customWidth="1"/>
    <col min="3" max="3" width="10.140625" bestFit="1" customWidth="1"/>
    <col min="4" max="4" width="11.140625" bestFit="1" customWidth="1"/>
    <col min="5" max="5" width="13.42578125" customWidth="1"/>
    <col min="6" max="6" width="12.5703125" customWidth="1"/>
    <col min="7" max="7" width="13.7109375" customWidth="1"/>
  </cols>
  <sheetData>
    <row r="1" spans="1:7" x14ac:dyDescent="0.25">
      <c r="A1" s="115"/>
      <c r="B1" s="116">
        <v>2021</v>
      </c>
      <c r="C1" s="116">
        <v>2022</v>
      </c>
      <c r="D1" s="116">
        <v>2023</v>
      </c>
      <c r="E1" s="116">
        <v>2024</v>
      </c>
      <c r="F1" s="116">
        <v>2025</v>
      </c>
      <c r="G1" s="140">
        <v>2026</v>
      </c>
    </row>
    <row r="2" spans="1:7" x14ac:dyDescent="0.25">
      <c r="A2" s="115" t="s">
        <v>84</v>
      </c>
      <c r="B2" s="117">
        <v>0</v>
      </c>
      <c r="C2" s="117">
        <v>0</v>
      </c>
      <c r="D2" s="117">
        <v>1000</v>
      </c>
      <c r="E2" s="117">
        <v>10000</v>
      </c>
      <c r="F2" s="117">
        <v>20000</v>
      </c>
      <c r="G2" s="141">
        <v>30000</v>
      </c>
    </row>
    <row r="3" spans="1:7" x14ac:dyDescent="0.25">
      <c r="A3" s="115" t="s">
        <v>79</v>
      </c>
      <c r="B3" s="118">
        <v>0</v>
      </c>
      <c r="C3" s="118">
        <v>0</v>
      </c>
      <c r="D3" s="118">
        <v>180000</v>
      </c>
      <c r="E3" s="118">
        <v>180000</v>
      </c>
      <c r="F3" s="118">
        <f t="shared" ref="F3:G3" si="0">E3*(1.0225)</f>
        <v>184050</v>
      </c>
      <c r="G3" s="118">
        <f t="shared" si="0"/>
        <v>188191.125</v>
      </c>
    </row>
    <row r="4" spans="1:7" x14ac:dyDescent="0.25">
      <c r="A4" s="115" t="s">
        <v>83</v>
      </c>
      <c r="B4" s="115">
        <f>B2*1</f>
        <v>0</v>
      </c>
      <c r="C4" s="115">
        <f t="shared" ref="C4:F4" si="1">C2*1</f>
        <v>0</v>
      </c>
      <c r="D4" s="115">
        <f t="shared" si="1"/>
        <v>1000</v>
      </c>
      <c r="E4" s="115">
        <f t="shared" si="1"/>
        <v>10000</v>
      </c>
      <c r="F4" s="115">
        <f t="shared" si="1"/>
        <v>20000</v>
      </c>
      <c r="G4" s="115">
        <f t="shared" ref="G4" si="2">G2*1</f>
        <v>30000</v>
      </c>
    </row>
    <row r="5" spans="1:7" x14ac:dyDescent="0.25">
      <c r="A5" s="115" t="s">
        <v>86</v>
      </c>
      <c r="B5" s="118">
        <v>0</v>
      </c>
      <c r="C5" s="118">
        <v>0</v>
      </c>
      <c r="D5" s="118">
        <f t="shared" ref="D5:F5" si="3">(D4+D3)/D2</f>
        <v>181</v>
      </c>
      <c r="E5" s="118">
        <f t="shared" si="3"/>
        <v>19</v>
      </c>
      <c r="F5" s="118">
        <f t="shared" si="3"/>
        <v>10.202500000000001</v>
      </c>
      <c r="G5" s="118">
        <f t="shared" ref="G5" si="4">(G4+G3)/G2</f>
        <v>7.2730375</v>
      </c>
    </row>
    <row r="6" spans="1:7" x14ac:dyDescent="0.25">
      <c r="A6" s="115" t="s">
        <v>85</v>
      </c>
      <c r="B6" s="118">
        <f>B5/12</f>
        <v>0</v>
      </c>
      <c r="C6" s="118">
        <f t="shared" ref="C6:F6" si="5">C5/12</f>
        <v>0</v>
      </c>
      <c r="D6" s="118">
        <f t="shared" si="5"/>
        <v>15.083333333333334</v>
      </c>
      <c r="E6" s="118">
        <f t="shared" si="5"/>
        <v>1.5833333333333333</v>
      </c>
      <c r="F6" s="118">
        <f t="shared" si="5"/>
        <v>0.85020833333333334</v>
      </c>
      <c r="G6" s="118">
        <f t="shared" ref="G6" si="6">G5/12</f>
        <v>0.6060864583333333</v>
      </c>
    </row>
    <row r="8" spans="1:7" x14ac:dyDescent="0.25">
      <c r="D8" s="120"/>
      <c r="E8" s="120"/>
      <c r="F8" s="120"/>
      <c r="G8" s="120"/>
    </row>
    <row r="9" spans="1:7" x14ac:dyDescent="0.25">
      <c r="A9" s="101" t="s">
        <v>22</v>
      </c>
      <c r="G9" s="120"/>
    </row>
    <row r="10" spans="1:7" x14ac:dyDescent="0.25">
      <c r="A10" t="s">
        <v>108</v>
      </c>
    </row>
    <row r="11" spans="1:7" x14ac:dyDescent="0.25">
      <c r="A11" t="s">
        <v>130</v>
      </c>
    </row>
    <row r="12" spans="1:7" x14ac:dyDescent="0.25">
      <c r="A12" t="s">
        <v>109</v>
      </c>
    </row>
    <row r="13" spans="1:7" x14ac:dyDescent="0.25">
      <c r="A13" t="s">
        <v>97</v>
      </c>
    </row>
    <row r="14" spans="1:7" x14ac:dyDescent="0.25">
      <c r="A14" t="s">
        <v>110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1"/>
  <sheetViews>
    <sheetView workbookViewId="0">
      <selection activeCell="C22" sqref="C22:G22"/>
    </sheetView>
  </sheetViews>
  <sheetFormatPr defaultRowHeight="15" x14ac:dyDescent="0.25"/>
  <cols>
    <col min="1" max="1" width="28.7109375" customWidth="1"/>
    <col min="2" max="2" width="17.7109375" customWidth="1"/>
    <col min="3" max="3" width="10.28515625" bestFit="1" customWidth="1"/>
    <col min="4" max="4" width="12.5703125" bestFit="1" customWidth="1"/>
    <col min="5" max="5" width="13.42578125" customWidth="1"/>
    <col min="6" max="6" width="12.5703125" customWidth="1"/>
    <col min="7" max="7" width="13.7109375" customWidth="1"/>
    <col min="8" max="8" width="12.5703125" bestFit="1" customWidth="1"/>
    <col min="9" max="9" width="29.85546875" customWidth="1"/>
    <col min="10" max="10" width="17" customWidth="1"/>
  </cols>
  <sheetData>
    <row r="1" spans="1:11" x14ac:dyDescent="0.25">
      <c r="A1" s="115"/>
      <c r="B1" s="116">
        <v>2021</v>
      </c>
      <c r="C1" s="116">
        <v>2022</v>
      </c>
      <c r="D1" s="116">
        <v>2023</v>
      </c>
      <c r="E1" s="116">
        <v>2024</v>
      </c>
      <c r="F1" s="116">
        <v>2025</v>
      </c>
      <c r="G1" s="140">
        <v>2026</v>
      </c>
    </row>
    <row r="2" spans="1:11" x14ac:dyDescent="0.25">
      <c r="A2" s="115" t="s">
        <v>84</v>
      </c>
      <c r="B2" s="117">
        <v>0</v>
      </c>
      <c r="C2" s="117">
        <v>0</v>
      </c>
      <c r="D2" s="117">
        <v>1000</v>
      </c>
      <c r="E2" s="117">
        <v>10000</v>
      </c>
      <c r="F2" s="117">
        <v>20000</v>
      </c>
      <c r="G2" s="141">
        <v>30000</v>
      </c>
    </row>
    <row r="3" spans="1:11" x14ac:dyDescent="0.25">
      <c r="A3" s="115" t="s">
        <v>79</v>
      </c>
      <c r="B3" s="118">
        <f>[1]Sheet5!B3/('AMI Data Request (AER)'!B26*B28)</f>
        <v>0</v>
      </c>
      <c r="C3" s="118">
        <f>[1]Sheet5!C3/('AMI Data Request (AER)'!C26*C28)</f>
        <v>0</v>
      </c>
      <c r="D3" s="118">
        <f>'Non-Standard AMI Data Request'!D3/('AMI Data Request (AER)'!D26*D28)</f>
        <v>156919.94013288495</v>
      </c>
      <c r="E3" s="118">
        <f>'Non-Standard AMI Data Request'!E3/('AMI Data Request (AER)'!E26*E28)</f>
        <v>146890.09386433216</v>
      </c>
      <c r="F3" s="118">
        <f>'Non-Standard AMI Data Request'!F3/('AMI Data Request (AER)'!F26*F28)</f>
        <v>140835.75589202062</v>
      </c>
      <c r="G3" s="118">
        <f>'Non-Standard AMI Data Request'!G3/('AMI Data Request (AER)'!G26*G28)</f>
        <v>135262.48180235078</v>
      </c>
      <c r="H3" s="120">
        <f>SUM(C3:G3)</f>
        <v>579908.27169158845</v>
      </c>
    </row>
    <row r="4" spans="1:11" x14ac:dyDescent="0.25">
      <c r="A4" s="115" t="s">
        <v>83</v>
      </c>
      <c r="B4" s="115">
        <f t="shared" ref="B4:G4" si="0">B2*1/(B26*B28)</f>
        <v>0</v>
      </c>
      <c r="C4" s="115">
        <f t="shared" si="0"/>
        <v>0</v>
      </c>
      <c r="D4" s="115">
        <f t="shared" si="0"/>
        <v>871.77744518269412</v>
      </c>
      <c r="E4" s="115">
        <f t="shared" si="0"/>
        <v>8160.5607702406751</v>
      </c>
      <c r="F4" s="115">
        <f t="shared" si="0"/>
        <v>15304.075619888139</v>
      </c>
      <c r="G4" s="115">
        <f t="shared" si="0"/>
        <v>21562.517648324403</v>
      </c>
      <c r="H4" s="34">
        <f>SUM(B4:G4)</f>
        <v>45898.931483635912</v>
      </c>
    </row>
    <row r="5" spans="1:11" x14ac:dyDescent="0.25">
      <c r="A5" s="115" t="s">
        <v>86</v>
      </c>
      <c r="B5" s="118">
        <v>0</v>
      </c>
      <c r="C5" s="118">
        <v>0</v>
      </c>
      <c r="D5" s="118">
        <f>(D4+D3)/D2</f>
        <v>157.79171757806765</v>
      </c>
      <c r="E5" s="118">
        <f t="shared" ref="E5:G5" si="1">(E4+E3)/E2</f>
        <v>15.505065463457283</v>
      </c>
      <c r="F5" s="118">
        <f t="shared" si="1"/>
        <v>7.806991575595438</v>
      </c>
      <c r="G5" s="118">
        <f t="shared" si="1"/>
        <v>5.2274999816891725</v>
      </c>
    </row>
    <row r="6" spans="1:11" x14ac:dyDescent="0.25">
      <c r="A6" s="115" t="s">
        <v>85</v>
      </c>
      <c r="B6" s="118">
        <f>B5/12</f>
        <v>0</v>
      </c>
      <c r="C6" s="118">
        <f t="shared" ref="C6:G6" si="2">C5/12</f>
        <v>0</v>
      </c>
      <c r="D6" s="118">
        <f t="shared" si="2"/>
        <v>13.149309798172304</v>
      </c>
      <c r="E6" s="118">
        <f t="shared" si="2"/>
        <v>1.2920887886214403</v>
      </c>
      <c r="F6" s="118">
        <f t="shared" si="2"/>
        <v>0.6505826312996198</v>
      </c>
      <c r="G6" s="118">
        <f t="shared" si="2"/>
        <v>0.43562499847409769</v>
      </c>
      <c r="H6" s="4"/>
      <c r="I6" s="4"/>
      <c r="J6" s="4"/>
      <c r="K6" s="4"/>
    </row>
    <row r="7" spans="1:11" x14ac:dyDescent="0.25">
      <c r="A7" s="155" t="s">
        <v>131</v>
      </c>
      <c r="B7" s="154"/>
      <c r="C7" s="156">
        <f t="shared" ref="C7:G7" si="3">C6*12*C2</f>
        <v>0</v>
      </c>
      <c r="D7" s="156">
        <f t="shared" si="3"/>
        <v>157791.71757806765</v>
      </c>
      <c r="E7" s="156">
        <f t="shared" si="3"/>
        <v>155050.65463457283</v>
      </c>
      <c r="F7" s="156">
        <f t="shared" si="3"/>
        <v>156139.83151190876</v>
      </c>
      <c r="G7" s="156">
        <f t="shared" si="3"/>
        <v>156824.99945067518</v>
      </c>
      <c r="H7" s="156">
        <f>SUM(C7:G7)</f>
        <v>625807.20317522448</v>
      </c>
      <c r="I7" s="4"/>
      <c r="J7" s="4"/>
      <c r="K7" s="4"/>
    </row>
    <row r="8" spans="1:11" x14ac:dyDescent="0.25">
      <c r="A8" s="157" t="s">
        <v>132</v>
      </c>
      <c r="B8" s="154"/>
      <c r="C8" s="156"/>
      <c r="D8" s="156"/>
      <c r="E8" s="156"/>
      <c r="F8" s="156"/>
      <c r="G8" s="156"/>
    </row>
    <row r="9" spans="1:11" x14ac:dyDescent="0.25">
      <c r="A9" s="101" t="s">
        <v>22</v>
      </c>
      <c r="G9" s="120"/>
    </row>
    <row r="10" spans="1:11" x14ac:dyDescent="0.25">
      <c r="A10" t="s">
        <v>108</v>
      </c>
    </row>
    <row r="11" spans="1:11" x14ac:dyDescent="0.25">
      <c r="A11" t="s">
        <v>130</v>
      </c>
    </row>
    <row r="12" spans="1:11" x14ac:dyDescent="0.25">
      <c r="A12" t="s">
        <v>109</v>
      </c>
    </row>
    <row r="13" spans="1:11" x14ac:dyDescent="0.25">
      <c r="A13" t="s">
        <v>97</v>
      </c>
    </row>
    <row r="14" spans="1:11" x14ac:dyDescent="0.25">
      <c r="A14" t="s">
        <v>110</v>
      </c>
      <c r="I14" s="154" t="s">
        <v>133</v>
      </c>
      <c r="J14" s="154" t="s">
        <v>134</v>
      </c>
    </row>
    <row r="15" spans="1:11" x14ac:dyDescent="0.25">
      <c r="I15" s="158">
        <f>(D18*1/(D26*D28))-D4</f>
        <v>3487.1097807307765</v>
      </c>
      <c r="J15" s="156">
        <f>H7+I15</f>
        <v>629294.31295595528</v>
      </c>
    </row>
    <row r="16" spans="1:11" x14ac:dyDescent="0.25">
      <c r="A16" s="157" t="s">
        <v>135</v>
      </c>
      <c r="B16" s="154"/>
      <c r="C16" s="159">
        <v>2022</v>
      </c>
      <c r="D16" s="159">
        <v>2023</v>
      </c>
      <c r="E16" s="159">
        <v>2024</v>
      </c>
      <c r="F16" s="159">
        <v>2025</v>
      </c>
      <c r="G16" s="159">
        <v>2026</v>
      </c>
      <c r="H16" s="157" t="s">
        <v>136</v>
      </c>
    </row>
    <row r="17" spans="1:10" x14ac:dyDescent="0.25">
      <c r="A17" s="157" t="s">
        <v>137</v>
      </c>
      <c r="B17" s="154"/>
      <c r="C17" s="154">
        <v>0</v>
      </c>
      <c r="D17" s="154">
        <v>0.24979999999999999</v>
      </c>
      <c r="E17" s="154">
        <v>7.2599999999999998E-2</v>
      </c>
      <c r="F17" s="154">
        <v>-0.36730000000000002</v>
      </c>
      <c r="G17" s="154">
        <v>-0.99660000000000004</v>
      </c>
      <c r="H17" s="154"/>
      <c r="J17" s="4"/>
    </row>
    <row r="18" spans="1:10" x14ac:dyDescent="0.25">
      <c r="A18" s="157" t="s">
        <v>138</v>
      </c>
      <c r="B18" s="154"/>
      <c r="C18" s="158">
        <v>0</v>
      </c>
      <c r="D18" s="160">
        <v>5000</v>
      </c>
      <c r="E18" s="160">
        <v>10000</v>
      </c>
      <c r="F18" s="160">
        <v>20000</v>
      </c>
      <c r="G18" s="160">
        <v>30000</v>
      </c>
      <c r="H18" s="158">
        <f>SUM(C18:G18)</f>
        <v>65000</v>
      </c>
    </row>
    <row r="19" spans="1:10" x14ac:dyDescent="0.25">
      <c r="A19" s="157" t="s">
        <v>139</v>
      </c>
      <c r="B19" s="154"/>
      <c r="C19" s="161">
        <v>9.6404643695472778</v>
      </c>
      <c r="D19" s="162">
        <f>C19*(1-D17/100)</f>
        <v>9.6163824895521479</v>
      </c>
      <c r="E19" s="162">
        <f>D19*(1-E17/100)</f>
        <v>9.6094009958647337</v>
      </c>
      <c r="F19" s="162">
        <f>E19*(1-F17/100)</f>
        <v>9.6446963257225455</v>
      </c>
      <c r="G19" s="163">
        <f>F19*(1-G17/100)</f>
        <v>9.7408153693046948</v>
      </c>
      <c r="H19" s="158"/>
    </row>
    <row r="20" spans="1:10" x14ac:dyDescent="0.25">
      <c r="A20" s="157" t="s">
        <v>140</v>
      </c>
      <c r="B20" s="154"/>
      <c r="C20" s="154">
        <f t="shared" ref="C20:G20" si="4">C19*C18</f>
        <v>0</v>
      </c>
      <c r="D20" s="164">
        <f t="shared" si="4"/>
        <v>48081.91244776074</v>
      </c>
      <c r="E20" s="164">
        <f t="shared" si="4"/>
        <v>96094.009958647337</v>
      </c>
      <c r="F20" s="164">
        <f t="shared" si="4"/>
        <v>192893.9265144509</v>
      </c>
      <c r="G20" s="164">
        <f t="shared" si="4"/>
        <v>292224.46107914083</v>
      </c>
      <c r="H20" s="164">
        <f>SUM(C20:G20)</f>
        <v>629294.30999999982</v>
      </c>
      <c r="I20" s="165"/>
    </row>
    <row r="21" spans="1:10" x14ac:dyDescent="0.25">
      <c r="A21" s="157" t="s">
        <v>132</v>
      </c>
      <c r="B21" s="154"/>
      <c r="C21" s="166">
        <f t="shared" ref="C21:G21" si="5">C19/12</f>
        <v>0.80337203079560648</v>
      </c>
      <c r="D21" s="167">
        <f t="shared" si="5"/>
        <v>0.80136520746267903</v>
      </c>
      <c r="E21" s="167">
        <f t="shared" si="5"/>
        <v>0.80078341632206118</v>
      </c>
      <c r="F21" s="167">
        <f t="shared" si="5"/>
        <v>0.80372469381021217</v>
      </c>
      <c r="G21" s="168">
        <f t="shared" si="5"/>
        <v>0.81173461410872461</v>
      </c>
      <c r="H21" s="154"/>
    </row>
    <row r="22" spans="1:10" x14ac:dyDescent="0.25">
      <c r="A22" s="157" t="s">
        <v>154</v>
      </c>
      <c r="B22" s="154"/>
      <c r="C22" s="169">
        <f t="shared" ref="C22:G22" si="6">C21*C28</f>
        <v>0.8405664070255835</v>
      </c>
      <c r="D22" s="170">
        <f t="shared" si="6"/>
        <v>0.87579190927897532</v>
      </c>
      <c r="E22" s="170">
        <f t="shared" si="6"/>
        <v>0.91255527352087495</v>
      </c>
      <c r="F22" s="170">
        <f t="shared" si="6"/>
        <v>0.9534158195077751</v>
      </c>
      <c r="G22" s="171">
        <f t="shared" si="6"/>
        <v>1.0006358047956854</v>
      </c>
      <c r="H22" s="154"/>
    </row>
    <row r="23" spans="1:10" x14ac:dyDescent="0.25">
      <c r="D23" s="180"/>
      <c r="E23" s="180"/>
      <c r="F23" s="180"/>
      <c r="G23" s="180"/>
    </row>
    <row r="25" spans="1:10" x14ac:dyDescent="0.25">
      <c r="A25" s="157" t="s">
        <v>141</v>
      </c>
      <c r="B25" s="172"/>
      <c r="C25" s="172">
        <v>2.4500000000000001E-2</v>
      </c>
      <c r="D25" s="172">
        <v>2.4500000000000001E-2</v>
      </c>
      <c r="E25" s="172">
        <v>2.4500000000000001E-2</v>
      </c>
      <c r="F25" s="172">
        <v>2.4500000000000001E-2</v>
      </c>
      <c r="G25" s="172">
        <v>2.4500000000000001E-2</v>
      </c>
    </row>
    <row r="26" spans="1:10" x14ac:dyDescent="0.25">
      <c r="A26" s="157" t="s">
        <v>142</v>
      </c>
      <c r="B26" s="154">
        <v>1</v>
      </c>
      <c r="C26" s="154">
        <f t="shared" ref="C26:G26" si="7">B26*(1+C25)</f>
        <v>1.0245</v>
      </c>
      <c r="D26" s="154">
        <f t="shared" si="7"/>
        <v>1.0496002499999999</v>
      </c>
      <c r="E26" s="154">
        <f t="shared" si="7"/>
        <v>1.0753154561249998</v>
      </c>
      <c r="F26" s="154">
        <f t="shared" si="7"/>
        <v>1.1016606848000623</v>
      </c>
      <c r="G26" s="154">
        <f t="shared" si="7"/>
        <v>1.1286513715776638</v>
      </c>
    </row>
    <row r="27" spans="1:10" x14ac:dyDescent="0.25">
      <c r="A27" s="154" t="s">
        <v>143</v>
      </c>
      <c r="B27" s="173"/>
      <c r="C27" s="173">
        <v>4.6297823180553394E-2</v>
      </c>
      <c r="D27" s="173">
        <v>4.4516065311028238E-2</v>
      </c>
      <c r="E27" s="173">
        <v>4.2734307441503076E-2</v>
      </c>
      <c r="F27" s="173">
        <v>4.0952549571977914E-2</v>
      </c>
      <c r="G27" s="173">
        <v>3.9170791702452745E-2</v>
      </c>
      <c r="H27" s="154" t="s">
        <v>153</v>
      </c>
      <c r="I27" s="154"/>
    </row>
    <row r="28" spans="1:10" x14ac:dyDescent="0.25">
      <c r="A28" s="154" t="s">
        <v>144</v>
      </c>
      <c r="B28" s="154">
        <v>1</v>
      </c>
      <c r="C28" s="154">
        <f t="shared" ref="C28:G28" si="8">B28*(1+C27)</f>
        <v>1.0462978231805533</v>
      </c>
      <c r="D28" s="154">
        <f t="shared" si="8"/>
        <v>1.0928748854120454</v>
      </c>
      <c r="E28" s="154">
        <f t="shared" si="8"/>
        <v>1.139578136760341</v>
      </c>
      <c r="F28" s="154">
        <f t="shared" si="8"/>
        <v>1.1862467668971612</v>
      </c>
      <c r="G28" s="154">
        <f t="shared" si="8"/>
        <v>1.232712991910998</v>
      </c>
    </row>
    <row r="31" spans="1:10" x14ac:dyDescent="0.25">
      <c r="D31" s="179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2:M22"/>
  <sheetViews>
    <sheetView zoomScaleNormal="100" workbookViewId="0">
      <selection activeCell="C13" sqref="C13"/>
    </sheetView>
  </sheetViews>
  <sheetFormatPr defaultRowHeight="15" x14ac:dyDescent="0.25"/>
  <cols>
    <col min="1" max="1" width="17.5703125" customWidth="1"/>
    <col min="2" max="2" width="22.5703125" customWidth="1"/>
    <col min="4" max="4" width="27.28515625" customWidth="1"/>
    <col min="11" max="11" width="11.7109375" customWidth="1"/>
    <col min="12" max="12" width="15.42578125" customWidth="1"/>
    <col min="13" max="13" width="15.7109375" customWidth="1"/>
  </cols>
  <sheetData>
    <row r="2" spans="1:13" ht="64.5" x14ac:dyDescent="0.25">
      <c r="A2" s="10"/>
      <c r="B2" s="11"/>
      <c r="C2" s="12" t="s">
        <v>0</v>
      </c>
      <c r="D2" s="13"/>
      <c r="E2" s="13"/>
      <c r="F2" s="14"/>
      <c r="G2" s="15"/>
      <c r="H2" s="16" t="s">
        <v>77</v>
      </c>
      <c r="I2" s="51" t="s">
        <v>78</v>
      </c>
      <c r="K2" s="53"/>
      <c r="L2" s="53"/>
      <c r="M2" s="53"/>
    </row>
    <row r="3" spans="1:13" x14ac:dyDescent="0.25">
      <c r="A3" s="17" t="s">
        <v>1</v>
      </c>
      <c r="B3" s="18" t="s">
        <v>2</v>
      </c>
      <c r="C3" s="19" t="s">
        <v>3</v>
      </c>
      <c r="D3" s="19" t="s">
        <v>4</v>
      </c>
      <c r="E3" s="19" t="s">
        <v>5</v>
      </c>
      <c r="F3" s="20" t="s">
        <v>6</v>
      </c>
      <c r="G3" s="2"/>
      <c r="H3" s="21">
        <v>2021</v>
      </c>
      <c r="I3" s="21">
        <v>2021</v>
      </c>
      <c r="K3" s="54" t="s">
        <v>18</v>
      </c>
      <c r="L3" s="54" t="s">
        <v>20</v>
      </c>
      <c r="M3" s="54" t="s">
        <v>21</v>
      </c>
    </row>
    <row r="4" spans="1:13" x14ac:dyDescent="0.25">
      <c r="A4" s="22" t="s">
        <v>15</v>
      </c>
      <c r="B4" s="23" t="s">
        <v>7</v>
      </c>
      <c r="C4" s="24" t="s">
        <v>8</v>
      </c>
      <c r="D4" s="24" t="s">
        <v>9</v>
      </c>
      <c r="E4" s="24" t="s">
        <v>10</v>
      </c>
      <c r="F4" s="25" t="s">
        <v>11</v>
      </c>
      <c r="G4" s="26"/>
      <c r="H4" s="27"/>
      <c r="I4" s="27"/>
      <c r="K4" s="55" t="s">
        <v>19</v>
      </c>
      <c r="L4" s="55" t="s">
        <v>23</v>
      </c>
      <c r="M4" s="55" t="s">
        <v>24</v>
      </c>
    </row>
    <row r="5" spans="1:13" x14ac:dyDescent="0.25">
      <c r="A5" s="17"/>
      <c r="B5" s="28" t="s">
        <v>25</v>
      </c>
      <c r="C5" s="29"/>
      <c r="D5" s="18"/>
      <c r="E5" s="18"/>
      <c r="F5" s="30"/>
      <c r="G5" s="31"/>
      <c r="H5" s="32"/>
      <c r="I5" s="33"/>
      <c r="K5" s="56"/>
      <c r="L5" s="56"/>
      <c r="M5" s="56"/>
    </row>
    <row r="6" spans="1:13" x14ac:dyDescent="0.25">
      <c r="A6" s="34"/>
      <c r="B6" s="35"/>
      <c r="C6" s="29"/>
      <c r="D6" s="35"/>
      <c r="E6" s="35"/>
      <c r="F6" s="29"/>
      <c r="G6" s="36"/>
      <c r="H6" s="37"/>
      <c r="I6" s="38"/>
      <c r="K6" s="46"/>
      <c r="L6" s="46"/>
      <c r="M6" s="46"/>
    </row>
    <row r="7" spans="1:13" ht="26.25" x14ac:dyDescent="0.25">
      <c r="A7" s="39">
        <v>1.1000000000000001</v>
      </c>
      <c r="B7" s="49" t="s">
        <v>91</v>
      </c>
      <c r="C7" s="64">
        <f>10/60</f>
        <v>0.16666666666666666</v>
      </c>
      <c r="D7" s="35" t="s">
        <v>12</v>
      </c>
      <c r="E7" s="35">
        <v>1</v>
      </c>
      <c r="F7" s="29">
        <f>E7*C7</f>
        <v>0.16666666666666666</v>
      </c>
      <c r="G7" s="36"/>
      <c r="H7" s="70">
        <f>Summary!C25</f>
        <v>78.239999999999995</v>
      </c>
      <c r="I7" s="40">
        <f>H7*$F7</f>
        <v>13.04</v>
      </c>
      <c r="K7" s="57">
        <v>1</v>
      </c>
      <c r="L7" s="61">
        <f>C14*K7</f>
        <v>2328</v>
      </c>
      <c r="M7" s="62">
        <f>L7*I7</f>
        <v>30357.119999999999</v>
      </c>
    </row>
    <row r="8" spans="1:13" ht="30" x14ac:dyDescent="0.25">
      <c r="A8" s="39"/>
      <c r="B8" s="50" t="s">
        <v>56</v>
      </c>
      <c r="C8" s="64"/>
      <c r="D8" s="35"/>
      <c r="E8" s="35"/>
      <c r="F8" s="29"/>
      <c r="G8" s="36"/>
      <c r="H8" s="37"/>
      <c r="I8" s="40"/>
      <c r="K8" s="46"/>
      <c r="L8" s="29"/>
      <c r="M8" s="29"/>
    </row>
    <row r="9" spans="1:13" x14ac:dyDescent="0.25">
      <c r="A9" s="39"/>
      <c r="B9" s="50"/>
      <c r="C9" s="64"/>
      <c r="D9" s="35"/>
      <c r="E9" s="35"/>
      <c r="F9" s="29"/>
      <c r="G9" s="36"/>
      <c r="H9" s="37"/>
      <c r="I9" s="40"/>
      <c r="K9" s="46"/>
      <c r="L9" s="29"/>
      <c r="M9" s="29"/>
    </row>
    <row r="10" spans="1:13" ht="36.75" x14ac:dyDescent="0.25">
      <c r="A10" s="39">
        <v>1.2</v>
      </c>
      <c r="B10" s="50" t="s">
        <v>93</v>
      </c>
      <c r="C10" s="64"/>
      <c r="D10" s="126" t="s">
        <v>96</v>
      </c>
      <c r="E10" s="35"/>
      <c r="F10" s="29"/>
      <c r="G10" s="36"/>
      <c r="H10" s="40">
        <v>462.65</v>
      </c>
      <c r="I10" s="40"/>
      <c r="K10" s="124">
        <v>0.7</v>
      </c>
      <c r="L10" s="29">
        <f>K10*C14</f>
        <v>1629.6</v>
      </c>
      <c r="M10" s="29">
        <f>L10*H10</f>
        <v>753934.44</v>
      </c>
    </row>
    <row r="11" spans="1:13" x14ac:dyDescent="0.25">
      <c r="A11" s="41"/>
      <c r="B11" s="52"/>
      <c r="C11" s="42"/>
      <c r="D11" s="42"/>
      <c r="E11" s="42"/>
      <c r="F11" s="43"/>
      <c r="G11" s="44"/>
      <c r="H11" s="45"/>
      <c r="I11" s="45"/>
      <c r="K11" s="182" t="s">
        <v>13</v>
      </c>
      <c r="L11" s="183"/>
      <c r="M11" s="6">
        <f>M10+M7</f>
        <v>784291.55999999994</v>
      </c>
    </row>
    <row r="13" spans="1:13" ht="45" x14ac:dyDescent="0.25">
      <c r="B13" s="59" t="s">
        <v>90</v>
      </c>
      <c r="C13" s="60">
        <v>23280</v>
      </c>
    </row>
    <row r="14" spans="1:13" ht="30" x14ac:dyDescent="0.25">
      <c r="B14" s="59" t="s">
        <v>92</v>
      </c>
      <c r="C14" s="60">
        <f>C13*0.1</f>
        <v>2328</v>
      </c>
      <c r="H14" s="9"/>
      <c r="I14" s="47" t="s">
        <v>14</v>
      </c>
      <c r="M14" s="65">
        <f>M11/C13</f>
        <v>33.689499999999995</v>
      </c>
    </row>
    <row r="15" spans="1:13" x14ac:dyDescent="0.25">
      <c r="C15" s="60"/>
      <c r="H15" s="9"/>
      <c r="I15" s="47"/>
    </row>
    <row r="16" spans="1:13" x14ac:dyDescent="0.25">
      <c r="C16" s="4"/>
      <c r="D16" s="4"/>
      <c r="E16" s="4"/>
      <c r="F16" s="48"/>
      <c r="G16" s="8"/>
    </row>
    <row r="17" spans="2:13" x14ac:dyDescent="0.25">
      <c r="B17" s="60" t="s">
        <v>22</v>
      </c>
    </row>
    <row r="18" spans="2:13" x14ac:dyDescent="0.25">
      <c r="B18" s="58" t="s">
        <v>111</v>
      </c>
    </row>
    <row r="19" spans="2:13" x14ac:dyDescent="0.25">
      <c r="B19" t="s">
        <v>112</v>
      </c>
    </row>
    <row r="20" spans="2:13" x14ac:dyDescent="0.25">
      <c r="B20" s="125" t="s">
        <v>94</v>
      </c>
      <c r="C20" s="60"/>
      <c r="M20" s="66"/>
    </row>
    <row r="21" spans="2:13" x14ac:dyDescent="0.25">
      <c r="B21" t="s">
        <v>98</v>
      </c>
    </row>
    <row r="22" spans="2:13" x14ac:dyDescent="0.25">
      <c r="B22" s="125" t="s">
        <v>95</v>
      </c>
      <c r="M22" s="66"/>
    </row>
  </sheetData>
  <mergeCells count="1">
    <mergeCell ref="K11:L1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AER draft decision 2021-22</vt:lpstr>
      <vt:lpstr>Summary</vt:lpstr>
      <vt:lpstr>Forecast Volumes and Revenue</vt:lpstr>
      <vt:lpstr>2021 Remote Special Reads</vt:lpstr>
      <vt:lpstr>2021 Remote Reconfig</vt:lpstr>
      <vt:lpstr>2021 Field Officer Visit</vt:lpstr>
      <vt:lpstr>Non-Standard AMI Data Request</vt:lpstr>
      <vt:lpstr>AMI Data Request (AER)</vt:lpstr>
      <vt:lpstr>Priority Re-energisation</vt:lpstr>
      <vt:lpstr>Type-7 Unmetered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2020-09-28T01:52:02Z</dcterms:created>
  <dcterms:modified xsi:type="dcterms:W3CDTF">2020-09-28T01:52:18Z</dcterms:modified>
</cp:coreProperties>
</file>